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8135" windowHeight="7935"/>
  </bookViews>
  <sheets>
    <sheet name="Sheet1" sheetId="1" r:id="rId1"/>
    <sheet name="Sheet2" sheetId="2" r:id="rId2"/>
    <sheet name="Sheet3" sheetId="3" r:id="rId3"/>
  </sheets>
  <calcPr calcId="125725"/>
  <fileRecoveryPr repairLoad="1"/>
</workbook>
</file>

<file path=xl/calcChain.xml><?xml version="1.0" encoding="utf-8"?>
<calcChain xmlns="http://schemas.openxmlformats.org/spreadsheetml/2006/main">
  <c r="AH36" i="1"/>
  <c r="AH35"/>
  <c r="AH34"/>
  <c r="AH33"/>
  <c r="AH31"/>
  <c r="AH29"/>
  <c r="AH28"/>
  <c r="AH27"/>
  <c r="AH26"/>
  <c r="AH25"/>
  <c r="AH24"/>
  <c r="AH23"/>
  <c r="AH22"/>
  <c r="AH21"/>
  <c r="AH19"/>
  <c r="AH18"/>
  <c r="AH17"/>
  <c r="AH16"/>
  <c r="AH15"/>
  <c r="AH14"/>
  <c r="AH13"/>
  <c r="AH11"/>
  <c r="AH10"/>
  <c r="AH9"/>
  <c r="AH8"/>
  <c r="AH7"/>
  <c r="AH6"/>
  <c r="AH12"/>
  <c r="AC16"/>
  <c r="N16"/>
  <c r="P16" s="1"/>
  <c r="R16" s="1"/>
  <c r="J16"/>
  <c r="M16" s="1"/>
  <c r="J17"/>
  <c r="M17" s="1"/>
  <c r="N17"/>
  <c r="P17" s="1"/>
  <c r="R17" s="1"/>
  <c r="AC17"/>
  <c r="AC15"/>
  <c r="N15"/>
  <c r="P15" s="1"/>
  <c r="R15" s="1"/>
  <c r="J15"/>
  <c r="M15" s="1"/>
  <c r="AB15" s="1"/>
  <c r="AC23"/>
  <c r="N23"/>
  <c r="P23" s="1"/>
  <c r="R23" s="1"/>
  <c r="J23"/>
  <c r="M23" s="1"/>
  <c r="AC25"/>
  <c r="N25"/>
  <c r="P25" s="1"/>
  <c r="R25" s="1"/>
  <c r="J25"/>
  <c r="M25" s="1"/>
  <c r="AB25" s="1"/>
  <c r="AC14"/>
  <c r="N14"/>
  <c r="P14" s="1"/>
  <c r="R14" s="1"/>
  <c r="J14"/>
  <c r="M14" s="1"/>
  <c r="AB14" s="1"/>
  <c r="AC13"/>
  <c r="N13"/>
  <c r="P13" s="1"/>
  <c r="R13" s="1"/>
  <c r="J13"/>
  <c r="M13" s="1"/>
  <c r="AB13" s="1"/>
  <c r="AC35"/>
  <c r="N35"/>
  <c r="P35" s="1"/>
  <c r="R35" s="1"/>
  <c r="J35"/>
  <c r="M35" s="1"/>
  <c r="AB35" s="1"/>
  <c r="AC12"/>
  <c r="N12"/>
  <c r="P12" s="1"/>
  <c r="J12"/>
  <c r="AC11"/>
  <c r="N11"/>
  <c r="P11" s="1"/>
  <c r="R11" s="1"/>
  <c r="J11"/>
  <c r="M11" s="1"/>
  <c r="AC27"/>
  <c r="N27"/>
  <c r="P27" s="1"/>
  <c r="R27" s="1"/>
  <c r="J27"/>
  <c r="M27" s="1"/>
  <c r="J10"/>
  <c r="M10" s="1"/>
  <c r="AB10" s="1"/>
  <c r="AC10"/>
  <c r="N10"/>
  <c r="P10" s="1"/>
  <c r="R10" s="1"/>
  <c r="AC29"/>
  <c r="N29"/>
  <c r="P29" s="1"/>
  <c r="R29" s="1"/>
  <c r="J29"/>
  <c r="AC24"/>
  <c r="N24"/>
  <c r="P24" s="1"/>
  <c r="R24" s="1"/>
  <c r="J24"/>
  <c r="M24" s="1"/>
  <c r="AC9"/>
  <c r="N9"/>
  <c r="P9" s="1"/>
  <c r="R9" s="1"/>
  <c r="J9"/>
  <c r="M9" s="1"/>
  <c r="J6"/>
  <c r="M6" s="1"/>
  <c r="G68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A92"/>
  <c r="A91" s="1"/>
  <c r="A90" s="1"/>
  <c r="A89" s="1"/>
  <c r="A88" s="1"/>
  <c r="A87" s="1"/>
  <c r="A86" s="1"/>
  <c r="A85" s="1"/>
  <c r="A84" s="1"/>
  <c r="A83" s="1"/>
  <c r="A82" s="1"/>
  <c r="A81" s="1"/>
  <c r="A80" s="1"/>
  <c r="A79" s="1"/>
  <c r="A78" s="1"/>
  <c r="A77" s="1"/>
  <c r="A76" s="1"/>
  <c r="A75" s="1"/>
  <c r="A74" s="1"/>
  <c r="A73" s="1"/>
  <c r="A72" s="1"/>
  <c r="A71" s="1"/>
  <c r="A70" s="1"/>
  <c r="A69" s="1"/>
  <c r="J67"/>
  <c r="M67" s="1"/>
  <c r="N67"/>
  <c r="P67" s="1"/>
  <c r="R67" s="1"/>
  <c r="AC67"/>
  <c r="N6"/>
  <c r="P6" s="1"/>
  <c r="R6" s="1"/>
  <c r="AC6"/>
  <c r="J7"/>
  <c r="M7" s="1"/>
  <c r="N7"/>
  <c r="P7" s="1"/>
  <c r="R7" s="1"/>
  <c r="U7" s="1"/>
  <c r="AC7"/>
  <c r="J8"/>
  <c r="M8" s="1"/>
  <c r="N8"/>
  <c r="P8" s="1"/>
  <c r="R8" s="1"/>
  <c r="AC8"/>
  <c r="AC19"/>
  <c r="N19"/>
  <c r="P19" s="1"/>
  <c r="R19" s="1"/>
  <c r="J19"/>
  <c r="M19" s="1"/>
  <c r="J21"/>
  <c r="M21" s="1"/>
  <c r="AC28"/>
  <c r="N28"/>
  <c r="P28" s="1"/>
  <c r="R28" s="1"/>
  <c r="J28"/>
  <c r="M28" s="1"/>
  <c r="AC31"/>
  <c r="N31"/>
  <c r="P31" s="1"/>
  <c r="R31" s="1"/>
  <c r="J31"/>
  <c r="AC26"/>
  <c r="N26"/>
  <c r="P26" s="1"/>
  <c r="R26" s="1"/>
  <c r="J26"/>
  <c r="M26" s="1"/>
  <c r="T16" l="1"/>
  <c r="U16"/>
  <c r="AB16"/>
  <c r="AD16"/>
  <c r="AD17"/>
  <c r="AB17"/>
  <c r="U17"/>
  <c r="T17"/>
  <c r="U15"/>
  <c r="T15"/>
  <c r="AD15"/>
  <c r="T23"/>
  <c r="U23"/>
  <c r="AB23"/>
  <c r="AD23"/>
  <c r="T25"/>
  <c r="U25"/>
  <c r="AD25"/>
  <c r="T14"/>
  <c r="U14"/>
  <c r="AD14"/>
  <c r="T13"/>
  <c r="U13"/>
  <c r="AD13"/>
  <c r="R12"/>
  <c r="T12" s="1"/>
  <c r="T35"/>
  <c r="U35"/>
  <c r="AD35"/>
  <c r="AB12"/>
  <c r="AD12"/>
  <c r="AD11"/>
  <c r="AB11"/>
  <c r="T11"/>
  <c r="U11"/>
  <c r="M31"/>
  <c r="T31" s="1"/>
  <c r="AB19"/>
  <c r="AB6"/>
  <c r="AD8"/>
  <c r="AE8" s="1"/>
  <c r="M29"/>
  <c r="AB29" s="1"/>
  <c r="T27"/>
  <c r="U27"/>
  <c r="AB27"/>
  <c r="AD27"/>
  <c r="T10"/>
  <c r="U10"/>
  <c r="AD10"/>
  <c r="AB26"/>
  <c r="AB24"/>
  <c r="U29"/>
  <c r="T24"/>
  <c r="U24"/>
  <c r="AD24"/>
  <c r="T9"/>
  <c r="U9"/>
  <c r="AB9"/>
  <c r="AD9"/>
  <c r="AB67"/>
  <c r="AD67"/>
  <c r="U67"/>
  <c r="T67"/>
  <c r="AD6"/>
  <c r="AE6" s="1"/>
  <c r="U8"/>
  <c r="T8"/>
  <c r="Y7"/>
  <c r="V7"/>
  <c r="W7" s="1"/>
  <c r="AD7"/>
  <c r="AB7"/>
  <c r="U6"/>
  <c r="T6"/>
  <c r="AB8"/>
  <c r="T7"/>
  <c r="U19"/>
  <c r="T19"/>
  <c r="AD19"/>
  <c r="AB28"/>
  <c r="AD28"/>
  <c r="T28"/>
  <c r="U28"/>
  <c r="U31"/>
  <c r="T26"/>
  <c r="U26"/>
  <c r="AD26"/>
  <c r="AC36"/>
  <c r="AC34"/>
  <c r="AC33"/>
  <c r="AC22"/>
  <c r="AC21"/>
  <c r="AC18"/>
  <c r="N22"/>
  <c r="P22" s="1"/>
  <c r="R22" s="1"/>
  <c r="J22"/>
  <c r="M22" s="1"/>
  <c r="O50"/>
  <c r="N34"/>
  <c r="P34" s="1"/>
  <c r="R34" s="1"/>
  <c r="J34"/>
  <c r="N21"/>
  <c r="P21" s="1"/>
  <c r="R21" s="1"/>
  <c r="AB21"/>
  <c r="N18"/>
  <c r="P18" s="1"/>
  <c r="R18" s="1"/>
  <c r="J18"/>
  <c r="N36"/>
  <c r="P36" s="1"/>
  <c r="R36" s="1"/>
  <c r="U36" s="1"/>
  <c r="J36"/>
  <c r="N33"/>
  <c r="P33" s="1"/>
  <c r="R33" s="1"/>
  <c r="U33" s="1"/>
  <c r="J33"/>
  <c r="AF16" l="1"/>
  <c r="AG16" s="1"/>
  <c r="AE16"/>
  <c r="V16"/>
  <c r="W16" s="1"/>
  <c r="Y16"/>
  <c r="AE17"/>
  <c r="AF17"/>
  <c r="AG17" s="1"/>
  <c r="Y17"/>
  <c r="V17"/>
  <c r="W17" s="1"/>
  <c r="V15"/>
  <c r="W15" s="1"/>
  <c r="Y15"/>
  <c r="AE15"/>
  <c r="V23"/>
  <c r="W23" s="1"/>
  <c r="Y23"/>
  <c r="AE23"/>
  <c r="V25"/>
  <c r="W25" s="1"/>
  <c r="Y25"/>
  <c r="AE25"/>
  <c r="AE14"/>
  <c r="V14"/>
  <c r="W14" s="1"/>
  <c r="Y14"/>
  <c r="V13"/>
  <c r="W13" s="1"/>
  <c r="Y13"/>
  <c r="AE13"/>
  <c r="Y12"/>
  <c r="V35"/>
  <c r="W35" s="1"/>
  <c r="Y35"/>
  <c r="AE35"/>
  <c r="AE12"/>
  <c r="Y11"/>
  <c r="V11"/>
  <c r="W11" s="1"/>
  <c r="AE11"/>
  <c r="M18"/>
  <c r="AD18" s="1"/>
  <c r="AE18" s="1"/>
  <c r="M36"/>
  <c r="AD36" s="1"/>
  <c r="AE36" s="1"/>
  <c r="AD31"/>
  <c r="AB31"/>
  <c r="M33"/>
  <c r="AB33" s="1"/>
  <c r="M34"/>
  <c r="AB34" s="1"/>
  <c r="T29"/>
  <c r="AD29"/>
  <c r="AE29" s="1"/>
  <c r="V27"/>
  <c r="W27" s="1"/>
  <c r="Y27"/>
  <c r="AE27"/>
  <c r="V10"/>
  <c r="W10" s="1"/>
  <c r="Y10"/>
  <c r="AE10"/>
  <c r="V29"/>
  <c r="W29" s="1"/>
  <c r="Y29"/>
  <c r="V24"/>
  <c r="W24" s="1"/>
  <c r="Y24"/>
  <c r="AE24"/>
  <c r="AE9"/>
  <c r="V9"/>
  <c r="W9" s="1"/>
  <c r="Y9"/>
  <c r="V67"/>
  <c r="W67" s="1"/>
  <c r="Y67"/>
  <c r="AE67"/>
  <c r="V8"/>
  <c r="Y8"/>
  <c r="AE7"/>
  <c r="AF7"/>
  <c r="AG7" s="1"/>
  <c r="D7" s="1"/>
  <c r="V6"/>
  <c r="Y6"/>
  <c r="AE19"/>
  <c r="V19"/>
  <c r="W19" s="1"/>
  <c r="Y19"/>
  <c r="V28"/>
  <c r="W28" s="1"/>
  <c r="Y28"/>
  <c r="AE28"/>
  <c r="V31"/>
  <c r="W31" s="1"/>
  <c r="Y31"/>
  <c r="AE31"/>
  <c r="V26"/>
  <c r="W26" s="1"/>
  <c r="Y26"/>
  <c r="AE26"/>
  <c r="AB22"/>
  <c r="AD22"/>
  <c r="U22"/>
  <c r="T22"/>
  <c r="O48"/>
  <c r="AD21"/>
  <c r="AE21" s="1"/>
  <c r="AB36"/>
  <c r="U18"/>
  <c r="AD34"/>
  <c r="AE34" s="1"/>
  <c r="T33"/>
  <c r="F16" l="1"/>
  <c r="D16"/>
  <c r="AI16"/>
  <c r="AA16"/>
  <c r="E16"/>
  <c r="E17"/>
  <c r="AA17"/>
  <c r="AI17"/>
  <c r="D17"/>
  <c r="F17"/>
  <c r="AF15"/>
  <c r="AG15" s="1"/>
  <c r="AF23"/>
  <c r="AG23" s="1"/>
  <c r="AB18"/>
  <c r="Y33"/>
  <c r="V33"/>
  <c r="T18"/>
  <c r="AD33"/>
  <c r="AE33" s="1"/>
  <c r="AF25"/>
  <c r="AG25" s="1"/>
  <c r="AF14"/>
  <c r="AG14" s="1"/>
  <c r="AF13"/>
  <c r="AG13" s="1"/>
  <c r="AI13" s="1"/>
  <c r="V12"/>
  <c r="W12" s="1"/>
  <c r="AF35"/>
  <c r="AG35" s="1"/>
  <c r="AA35" s="1"/>
  <c r="AF11"/>
  <c r="AG11" s="1"/>
  <c r="Y36"/>
  <c r="T36"/>
  <c r="Y18"/>
  <c r="V36"/>
  <c r="W36" s="1"/>
  <c r="B7"/>
  <c r="AF29"/>
  <c r="AG29" s="1"/>
  <c r="F29" s="1"/>
  <c r="AF27"/>
  <c r="AG27" s="1"/>
  <c r="AI27" s="1"/>
  <c r="AF10"/>
  <c r="AG10" s="1"/>
  <c r="AF24"/>
  <c r="AG24" s="1"/>
  <c r="AF9"/>
  <c r="AG9" s="1"/>
  <c r="AI9" s="1"/>
  <c r="C7"/>
  <c r="AF67"/>
  <c r="AG67" s="1"/>
  <c r="AH67" s="1"/>
  <c r="E7"/>
  <c r="AA7"/>
  <c r="AI7"/>
  <c r="F7"/>
  <c r="W6"/>
  <c r="AF6"/>
  <c r="AG6" s="1"/>
  <c r="D6" s="1"/>
  <c r="B6" s="1"/>
  <c r="W8"/>
  <c r="AF8"/>
  <c r="AG8" s="1"/>
  <c r="D8" s="1"/>
  <c r="B8" s="1"/>
  <c r="AF36"/>
  <c r="AG36" s="1"/>
  <c r="D36" s="1"/>
  <c r="B36" s="1"/>
  <c r="AF19"/>
  <c r="AG19" s="1"/>
  <c r="D19" s="1"/>
  <c r="B19" s="1"/>
  <c r="AF28"/>
  <c r="AG28" s="1"/>
  <c r="D28" s="1"/>
  <c r="B28" s="1"/>
  <c r="AF31"/>
  <c r="AG31" s="1"/>
  <c r="D31" s="1"/>
  <c r="B31" s="1"/>
  <c r="AF26"/>
  <c r="AG26" s="1"/>
  <c r="D26" s="1"/>
  <c r="B26" s="1"/>
  <c r="AF33"/>
  <c r="AG33" s="1"/>
  <c r="D33" s="1"/>
  <c r="B33" s="1"/>
  <c r="AE22"/>
  <c r="V22"/>
  <c r="W22" s="1"/>
  <c r="Y22"/>
  <c r="W33"/>
  <c r="V18"/>
  <c r="T21"/>
  <c r="U21"/>
  <c r="T34"/>
  <c r="U34"/>
  <c r="B16" l="1"/>
  <c r="C16"/>
  <c r="B17"/>
  <c r="C17"/>
  <c r="F15"/>
  <c r="E15"/>
  <c r="D15"/>
  <c r="AA15"/>
  <c r="AI15"/>
  <c r="F23"/>
  <c r="D23"/>
  <c r="AI23"/>
  <c r="AA23"/>
  <c r="E23"/>
  <c r="F25"/>
  <c r="D25"/>
  <c r="AI25"/>
  <c r="AA25"/>
  <c r="E25"/>
  <c r="F14"/>
  <c r="D14"/>
  <c r="AI14"/>
  <c r="AA14"/>
  <c r="E14"/>
  <c r="AA13"/>
  <c r="E13"/>
  <c r="D13"/>
  <c r="C13" s="1"/>
  <c r="F13"/>
  <c r="AF12"/>
  <c r="AG12" s="1"/>
  <c r="AI12" s="1"/>
  <c r="F35"/>
  <c r="D35"/>
  <c r="B35" s="1"/>
  <c r="AI35"/>
  <c r="E35"/>
  <c r="D11"/>
  <c r="AI11"/>
  <c r="AA11"/>
  <c r="E11"/>
  <c r="F11"/>
  <c r="AI29"/>
  <c r="AA29"/>
  <c r="D29"/>
  <c r="E29"/>
  <c r="AA27"/>
  <c r="E27"/>
  <c r="D27"/>
  <c r="F27"/>
  <c r="F10"/>
  <c r="D10"/>
  <c r="B10" s="1"/>
  <c r="AI10"/>
  <c r="AA10"/>
  <c r="E10"/>
  <c r="C19"/>
  <c r="C31"/>
  <c r="F24"/>
  <c r="AA24"/>
  <c r="D24"/>
  <c r="B24" s="1"/>
  <c r="AI24"/>
  <c r="E24"/>
  <c r="F9"/>
  <c r="AA9"/>
  <c r="D9"/>
  <c r="E9"/>
  <c r="C28"/>
  <c r="C36"/>
  <c r="C33"/>
  <c r="C8"/>
  <c r="C6"/>
  <c r="C26"/>
  <c r="D67"/>
  <c r="E93"/>
  <c r="D93"/>
  <c r="D92" s="1"/>
  <c r="D91" s="1"/>
  <c r="D90" s="1"/>
  <c r="D89" s="1"/>
  <c r="D88" s="1"/>
  <c r="D87" s="1"/>
  <c r="D86" s="1"/>
  <c r="D85" s="1"/>
  <c r="D84" s="1"/>
  <c r="D83" s="1"/>
  <c r="D82" s="1"/>
  <c r="D81" s="1"/>
  <c r="D80" s="1"/>
  <c r="D79" s="1"/>
  <c r="D78" s="1"/>
  <c r="D77" s="1"/>
  <c r="D76" s="1"/>
  <c r="D75" s="1"/>
  <c r="D74" s="1"/>
  <c r="D73" s="1"/>
  <c r="D72" s="1"/>
  <c r="D71" s="1"/>
  <c r="F93"/>
  <c r="C93" s="1"/>
  <c r="AI67"/>
  <c r="AA67"/>
  <c r="F19"/>
  <c r="AI19"/>
  <c r="AA19"/>
  <c r="E19"/>
  <c r="F67"/>
  <c r="C67" s="1"/>
  <c r="E67"/>
  <c r="E8"/>
  <c r="AA8"/>
  <c r="F8"/>
  <c r="AI8"/>
  <c r="AA6"/>
  <c r="AI6"/>
  <c r="F6"/>
  <c r="E6"/>
  <c r="E36"/>
  <c r="E31"/>
  <c r="E33"/>
  <c r="E28"/>
  <c r="E26"/>
  <c r="F28"/>
  <c r="AI28"/>
  <c r="AA28"/>
  <c r="F31"/>
  <c r="AI31"/>
  <c r="AA31"/>
  <c r="F26"/>
  <c r="AA26"/>
  <c r="AI26"/>
  <c r="AF22"/>
  <c r="AG22" s="1"/>
  <c r="D22" s="1"/>
  <c r="B22" s="1"/>
  <c r="AA36"/>
  <c r="F36"/>
  <c r="AA33"/>
  <c r="F33"/>
  <c r="AF18"/>
  <c r="AG18" s="1"/>
  <c r="D18" s="1"/>
  <c r="B18" s="1"/>
  <c r="W18"/>
  <c r="Y21"/>
  <c r="V21"/>
  <c r="Y34"/>
  <c r="V34"/>
  <c r="AI33"/>
  <c r="B15" l="1"/>
  <c r="C15"/>
  <c r="B23"/>
  <c r="C23"/>
  <c r="B25"/>
  <c r="C25"/>
  <c r="B14"/>
  <c r="C14"/>
  <c r="B13"/>
  <c r="AA12"/>
  <c r="D12"/>
  <c r="B12" s="1"/>
  <c r="E12"/>
  <c r="F12"/>
  <c r="C35"/>
  <c r="B11"/>
  <c r="C11"/>
  <c r="C9"/>
  <c r="B9"/>
  <c r="C29"/>
  <c r="B29"/>
  <c r="C27"/>
  <c r="B27"/>
  <c r="C10"/>
  <c r="C24"/>
  <c r="C22"/>
  <c r="C18"/>
  <c r="E92"/>
  <c r="F92"/>
  <c r="C92" s="1"/>
  <c r="D70"/>
  <c r="D69" s="1"/>
  <c r="E18"/>
  <c r="AI22"/>
  <c r="E22"/>
  <c r="AA22"/>
  <c r="F22"/>
  <c r="AA18"/>
  <c r="F18"/>
  <c r="W21"/>
  <c r="AF21"/>
  <c r="AG21" s="1"/>
  <c r="D21" s="1"/>
  <c r="B21" s="1"/>
  <c r="AF34"/>
  <c r="AG34" s="1"/>
  <c r="D34" s="1"/>
  <c r="B34" s="1"/>
  <c r="W34"/>
  <c r="AI18"/>
  <c r="C12" l="1"/>
  <c r="C34"/>
  <c r="C21"/>
  <c r="E91"/>
  <c r="F91"/>
  <c r="C91" s="1"/>
  <c r="E34"/>
  <c r="E21"/>
  <c r="AA21"/>
  <c r="F21"/>
  <c r="AA34"/>
  <c r="F34"/>
  <c r="AI21"/>
  <c r="AI36"/>
  <c r="C90" l="1"/>
  <c r="E90"/>
  <c r="F90"/>
  <c r="AI34"/>
  <c r="E89" l="1"/>
  <c r="F89"/>
  <c r="C89" s="1"/>
  <c r="E88" l="1"/>
  <c r="F88"/>
  <c r="C88" s="1"/>
  <c r="E87" l="1"/>
  <c r="F87"/>
  <c r="C87" s="1"/>
  <c r="E86" l="1"/>
  <c r="F86"/>
  <c r="C86" s="1"/>
  <c r="E85" l="1"/>
  <c r="F85"/>
  <c r="C85" s="1"/>
  <c r="E84" l="1"/>
  <c r="F84"/>
  <c r="C84" s="1"/>
  <c r="E83" l="1"/>
  <c r="F83"/>
  <c r="C83" s="1"/>
  <c r="E82" l="1"/>
  <c r="F82"/>
  <c r="C82" s="1"/>
  <c r="E81" l="1"/>
  <c r="F81"/>
  <c r="C81" s="1"/>
  <c r="E80" l="1"/>
  <c r="F80"/>
  <c r="C80" s="1"/>
  <c r="E79" l="1"/>
  <c r="F79"/>
  <c r="C79" s="1"/>
  <c r="E78" l="1"/>
  <c r="F78"/>
  <c r="C78" s="1"/>
  <c r="E77" l="1"/>
  <c r="F77"/>
  <c r="C77" s="1"/>
  <c r="E76" l="1"/>
  <c r="F76"/>
  <c r="C76" s="1"/>
  <c r="E75" l="1"/>
  <c r="F75"/>
  <c r="C75" s="1"/>
  <c r="E74" l="1"/>
  <c r="F74"/>
  <c r="C74" s="1"/>
  <c r="E73" l="1"/>
  <c r="F73"/>
  <c r="C73" s="1"/>
  <c r="E72" l="1"/>
  <c r="F72"/>
  <c r="C72" s="1"/>
  <c r="E71" l="1"/>
  <c r="F71"/>
  <c r="C71" s="1"/>
  <c r="E70" l="1"/>
  <c r="F70"/>
  <c r="C70" s="1"/>
  <c r="E69" l="1"/>
  <c r="F69"/>
  <c r="C69" s="1"/>
</calcChain>
</file>

<file path=xl/sharedStrings.xml><?xml version="1.0" encoding="utf-8"?>
<sst xmlns="http://schemas.openxmlformats.org/spreadsheetml/2006/main" count="240" uniqueCount="114">
  <si>
    <t>Diameter</t>
  </si>
  <si>
    <t>R</t>
  </si>
  <si>
    <t>R/2sqrt(C/L)</t>
  </si>
  <si>
    <t>R/2L</t>
  </si>
  <si>
    <t>W0</t>
  </si>
  <si>
    <t>f0</t>
  </si>
  <si>
    <t>B2 = Vo/(L*Wd)</t>
  </si>
  <si>
    <t>Wd</t>
  </si>
  <si>
    <t>B2</t>
  </si>
  <si>
    <t>Diam</t>
  </si>
  <si>
    <t>Lgth</t>
  </si>
  <si>
    <t>Coil</t>
  </si>
  <si>
    <t>Total</t>
  </si>
  <si>
    <t>Vo</t>
  </si>
  <si>
    <t>B-Field</t>
  </si>
  <si>
    <t>n/L*A</t>
  </si>
  <si>
    <t>(T)</t>
  </si>
  <si>
    <t>Cap</t>
  </si>
  <si>
    <t>(ohms)</t>
  </si>
  <si>
    <t>(V)</t>
  </si>
  <si>
    <t>(Hz)</t>
  </si>
  <si>
    <t>(A)</t>
  </si>
  <si>
    <t>(inch)</t>
  </si>
  <si>
    <t>Resist-</t>
  </si>
  <si>
    <t>ivity</t>
  </si>
  <si>
    <t>mohms/ft</t>
  </si>
  <si>
    <t>(rad/s)</t>
  </si>
  <si>
    <t>12</t>
  </si>
  <si>
    <t>14</t>
  </si>
  <si>
    <t>16</t>
  </si>
  <si>
    <t>18</t>
  </si>
  <si>
    <t>20</t>
  </si>
  <si>
    <t>10</t>
  </si>
  <si>
    <t>Cable</t>
  </si>
  <si>
    <t>alpha(t)</t>
  </si>
  <si>
    <t>LCR Damping</t>
  </si>
  <si>
    <t>Eff</t>
  </si>
  <si>
    <t>First Coil</t>
  </si>
  <si>
    <t>Second Coil</t>
  </si>
  <si>
    <t>(ms)</t>
  </si>
  <si>
    <t>Net I</t>
  </si>
  <si>
    <t>Everything</t>
  </si>
  <si>
    <t>Else R</t>
  </si>
  <si>
    <t>Coil+</t>
  </si>
  <si>
    <t>AWG Size</t>
  </si>
  <si>
    <t>Res</t>
  </si>
  <si>
    <t>Resistances:</t>
  </si>
  <si>
    <t>Coil(s)</t>
  </si>
  <si>
    <t>Reverse protection diode/ballast resistor</t>
  </si>
  <si>
    <t>SCR/Diode forward drops</t>
  </si>
  <si>
    <t>Capacitors</t>
  </si>
  <si>
    <t>Coil(s) (and other) skin effect</t>
  </si>
  <si>
    <t>Cable wire</t>
  </si>
  <si>
    <t>Internal  wiring</t>
  </si>
  <si>
    <t>Lugs (crimp and clamp)</t>
  </si>
  <si>
    <t>Brass posts (metal and clamping)</t>
  </si>
  <si>
    <t>SCR/Diode clamping connections</t>
  </si>
  <si>
    <t>Capacitor ESR (Non-uF)</t>
  </si>
  <si>
    <t>Capacitor-plus-&gt;wire-&gt;brass post-&gt;cable out-&gt;coil(s)-&gt;cable back-&gt;brass post-&gt;bottom plate-&gt;SCR/Diode-&gt;top plate-&gt;wire-&gt;capacitor-minus</t>
  </si>
  <si>
    <t>Other</t>
  </si>
  <si>
    <t>α(t)</t>
  </si>
  <si>
    <t>1/α</t>
  </si>
  <si>
    <t>α</t>
  </si>
  <si>
    <r>
      <t>(m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/ft)</t>
    </r>
  </si>
  <si>
    <t>(Ω)</t>
  </si>
  <si>
    <r>
      <t>(</t>
    </r>
    <r>
      <rPr>
        <sz val="11"/>
        <color theme="1"/>
        <rFont val="Calibri"/>
        <family val="2"/>
      </rPr>
      <t>μF)</t>
    </r>
  </si>
  <si>
    <t>(μH)</t>
  </si>
  <si>
    <t>#</t>
  </si>
  <si>
    <t>Coils</t>
  </si>
  <si>
    <t>Ind/</t>
  </si>
  <si>
    <t>Trns/</t>
  </si>
  <si>
    <t>Ind</t>
  </si>
  <si>
    <t>(ft)</t>
  </si>
  <si>
    <t>ζ</t>
  </si>
  <si>
    <t>Tot R</t>
  </si>
  <si>
    <r>
      <t>(m</t>
    </r>
    <r>
      <rPr>
        <sz val="11"/>
        <color theme="1"/>
        <rFont val="Calibri"/>
        <family val="2"/>
      </rPr>
      <t>Ω</t>
    </r>
    <r>
      <rPr>
        <sz val="11"/>
        <color theme="1"/>
        <rFont val="Calibri"/>
        <family val="2"/>
        <scheme val="minor"/>
      </rPr>
      <t>)</t>
    </r>
  </si>
  <si>
    <t>Wd = sqrt(W0^2-α^2)</t>
  </si>
  <si>
    <t>W0 = 1/sqrt(LC)</t>
  </si>
  <si>
    <t>f0 = W0/2pi</t>
  </si>
  <si>
    <t>Series R</t>
  </si>
  <si>
    <t>V Drop</t>
  </si>
  <si>
    <t>Par R</t>
  </si>
  <si>
    <t>(Negative half cycle)</t>
  </si>
  <si>
    <t>Energy</t>
  </si>
  <si>
    <t>(J)</t>
  </si>
  <si>
    <t>E</t>
  </si>
  <si>
    <t>Dial-A-Field</t>
  </si>
  <si>
    <t>Field-S</t>
  </si>
  <si>
    <t>Field-L</t>
  </si>
  <si>
    <t xml:space="preserve"> </t>
  </si>
  <si>
    <t>n*i/L</t>
  </si>
  <si>
    <t>n*i/D</t>
  </si>
  <si>
    <t>Field at</t>
  </si>
  <si>
    <t>inches</t>
  </si>
  <si>
    <t>Field-LT</t>
  </si>
  <si>
    <t># Turns</t>
  </si>
  <si>
    <t>I Calc-&gt;</t>
  </si>
  <si>
    <t>Dec-&gt;</t>
  </si>
  <si>
    <t>Max Energy</t>
  </si>
  <si>
    <t>Max Voltage</t>
  </si>
  <si>
    <t>dB/dt</t>
  </si>
  <si>
    <t>Rel</t>
  </si>
  <si>
    <t>T/s</t>
  </si>
  <si>
    <t>Ckt</t>
  </si>
  <si>
    <t>(uH)</t>
  </si>
  <si>
    <t>Max V,dB/dt</t>
  </si>
  <si>
    <t>Max V,B</t>
  </si>
  <si>
    <t>4th Coil</t>
  </si>
  <si>
    <t>3rd Coil</t>
  </si>
  <si>
    <t>5th Coil</t>
  </si>
  <si>
    <t>6th Coil</t>
  </si>
  <si>
    <t>7th Coil</t>
  </si>
  <si>
    <t>8th Coil</t>
  </si>
  <si>
    <t>Paper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</si>
</sst>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1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9FC"/>
      <name val="Calibri"/>
      <family val="2"/>
      <scheme val="minor"/>
    </font>
    <font>
      <sz val="11"/>
      <color rgb="FF00B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i/>
      <sz val="13.2"/>
      <color theme="1"/>
      <name val="MathJax_Math"/>
    </font>
    <font>
      <sz val="11"/>
      <color rgb="FF4EB000"/>
      <name val="Calibri"/>
      <family val="2"/>
      <scheme val="minor"/>
    </font>
    <font>
      <sz val="11"/>
      <color rgb="FFA6A200"/>
      <name val="Calibri"/>
      <family val="2"/>
      <scheme val="minor"/>
    </font>
    <font>
      <sz val="11"/>
      <color rgb="FFCC3300"/>
      <name val="Calibri"/>
      <family val="2"/>
      <scheme val="minor"/>
    </font>
    <font>
      <sz val="11"/>
      <color rgb="FF6EC8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 vertical="center"/>
    </xf>
    <xf numFmtId="165" fontId="0" fillId="0" borderId="0" xfId="0" applyNumberFormat="1"/>
    <xf numFmtId="165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  <xf numFmtId="49" fontId="0" fillId="0" borderId="0" xfId="0" applyNumberFormat="1" applyAlignment="1">
      <alignment horizontal="center" vertical="center"/>
    </xf>
    <xf numFmtId="2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1" fontId="1" fillId="0" borderId="0" xfId="0" applyNumberFormat="1" applyFont="1"/>
    <xf numFmtId="2" fontId="2" fillId="0" borderId="0" xfId="0" applyNumberFormat="1" applyFont="1"/>
    <xf numFmtId="0" fontId="2" fillId="0" borderId="0" xfId="0" applyFont="1"/>
    <xf numFmtId="165" fontId="2" fillId="0" borderId="0" xfId="0" applyNumberFormat="1" applyFont="1"/>
    <xf numFmtId="1" fontId="2" fillId="0" borderId="0" xfId="0" applyNumberFormat="1" applyFont="1"/>
    <xf numFmtId="2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1" fontId="3" fillId="0" borderId="0" xfId="0" applyNumberFormat="1" applyFont="1"/>
    <xf numFmtId="2" fontId="4" fillId="0" borderId="0" xfId="0" applyNumberFormat="1" applyFont="1"/>
    <xf numFmtId="0" fontId="4" fillId="0" borderId="0" xfId="0" applyFont="1"/>
    <xf numFmtId="165" fontId="4" fillId="0" borderId="0" xfId="0" applyNumberFormat="1" applyFont="1"/>
    <xf numFmtId="1" fontId="4" fillId="0" borderId="0" xfId="0" applyNumberFormat="1" applyFon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2" fontId="5" fillId="0" borderId="0" xfId="0" applyNumberFormat="1" applyFont="1" applyAlignment="1">
      <alignment horizontal="center" vertical="center"/>
    </xf>
    <xf numFmtId="0" fontId="6" fillId="0" borderId="0" xfId="0" applyFont="1"/>
    <xf numFmtId="164" fontId="0" fillId="0" borderId="0" xfId="0" applyNumberFormat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66" fontId="0" fillId="0" borderId="0" xfId="0" applyNumberFormat="1"/>
    <xf numFmtId="1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4" fillId="0" borderId="0" xfId="0" applyNumberFormat="1" applyFont="1"/>
    <xf numFmtId="166" fontId="4" fillId="0" borderId="0" xfId="0" applyNumberFormat="1" applyFont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1" xfId="0" applyNumberFormat="1" applyBorder="1"/>
    <xf numFmtId="1" fontId="0" fillId="0" borderId="2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7" fillId="0" borderId="0" xfId="0" applyFont="1"/>
    <xf numFmtId="2" fontId="7" fillId="0" borderId="0" xfId="0" applyNumberFormat="1" applyFont="1"/>
    <xf numFmtId="1" fontId="7" fillId="0" borderId="0" xfId="0" applyNumberFormat="1" applyFont="1"/>
    <xf numFmtId="164" fontId="7" fillId="0" borderId="0" xfId="0" applyNumberFormat="1" applyFont="1"/>
    <xf numFmtId="165" fontId="7" fillId="0" borderId="0" xfId="0" applyNumberFormat="1" applyFont="1"/>
    <xf numFmtId="166" fontId="7" fillId="0" borderId="0" xfId="0" applyNumberFormat="1" applyFont="1" applyAlignment="1">
      <alignment horizontal="center" vertical="center"/>
    </xf>
    <xf numFmtId="0" fontId="8" fillId="0" borderId="0" xfId="0" applyFont="1"/>
    <xf numFmtId="2" fontId="8" fillId="0" borderId="0" xfId="0" applyNumberFormat="1" applyFont="1"/>
    <xf numFmtId="1" fontId="8" fillId="0" borderId="0" xfId="0" applyNumberFormat="1" applyFont="1"/>
    <xf numFmtId="164" fontId="8" fillId="0" borderId="0" xfId="0" applyNumberFormat="1" applyFont="1"/>
    <xf numFmtId="165" fontId="8" fillId="0" borderId="0" xfId="0" applyNumberFormat="1" applyFont="1"/>
    <xf numFmtId="166" fontId="8" fillId="0" borderId="0" xfId="0" applyNumberFormat="1" applyFont="1" applyAlignment="1">
      <alignment horizontal="center" vertical="center"/>
    </xf>
    <xf numFmtId="0" fontId="9" fillId="0" borderId="0" xfId="0" applyFont="1"/>
    <xf numFmtId="2" fontId="9" fillId="0" borderId="0" xfId="0" applyNumberFormat="1" applyFont="1"/>
    <xf numFmtId="1" fontId="9" fillId="0" borderId="0" xfId="0" applyNumberFormat="1" applyFont="1"/>
    <xf numFmtId="164" fontId="9" fillId="0" borderId="0" xfId="0" applyNumberFormat="1" applyFont="1"/>
    <xf numFmtId="165" fontId="9" fillId="0" borderId="0" xfId="0" applyNumberFormat="1" applyFont="1"/>
    <xf numFmtId="166" fontId="9" fillId="0" borderId="0" xfId="0" applyNumberFormat="1" applyFont="1" applyAlignment="1">
      <alignment horizontal="center" vertical="center"/>
    </xf>
    <xf numFmtId="0" fontId="10" fillId="0" borderId="0" xfId="0" applyFont="1"/>
    <xf numFmtId="2" fontId="10" fillId="0" borderId="0" xfId="0" applyNumberFormat="1" applyFont="1"/>
    <xf numFmtId="1" fontId="10" fillId="0" borderId="0" xfId="0" applyNumberFormat="1" applyFont="1"/>
    <xf numFmtId="164" fontId="10" fillId="0" borderId="0" xfId="0" applyNumberFormat="1" applyFont="1"/>
    <xf numFmtId="165" fontId="10" fillId="0" borderId="0" xfId="0" applyNumberFormat="1" applyFont="1"/>
    <xf numFmtId="166" fontId="1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00"/>
      <color rgb="FF0009FC"/>
      <color rgb="FFFF0000"/>
      <color rgb="FFA6A200"/>
      <color rgb="FF6EC800"/>
      <color rgb="FFCC3300"/>
      <color rgb="FF4EB000"/>
      <color rgb="FF7CFF00"/>
      <color rgb="FFC7B901"/>
      <color rgb="FFD2A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K95"/>
  <sheetViews>
    <sheetView tabSelected="1" topLeftCell="D7" workbookViewId="0">
      <selection activeCell="E31" sqref="E31"/>
    </sheetView>
  </sheetViews>
  <sheetFormatPr defaultRowHeight="15"/>
  <cols>
    <col min="1" max="1" width="11.5703125" customWidth="1"/>
    <col min="2" max="2" width="6.28515625" style="4" customWidth="1"/>
    <col min="3" max="3" width="5.85546875" style="9" customWidth="1"/>
    <col min="4" max="4" width="8" style="2" customWidth="1"/>
    <col min="5" max="5" width="7.85546875" customWidth="1"/>
    <col min="6" max="6" width="7.5703125" style="2" customWidth="1"/>
    <col min="7" max="7" width="6.140625" style="4" customWidth="1"/>
    <col min="8" max="8" width="6.28515625" style="4" customWidth="1"/>
    <col min="9" max="9" width="6.7109375" customWidth="1"/>
    <col min="10" max="10" width="7.7109375" style="4" customWidth="1"/>
    <col min="11" max="11" width="6.28515625" customWidth="1"/>
    <col min="12" max="12" width="6.7109375" customWidth="1"/>
    <col min="13" max="13" width="8.140625" style="4" customWidth="1"/>
    <col min="14" max="14" width="6.5703125" style="4" customWidth="1"/>
    <col min="15" max="15" width="7.42578125" style="4" customWidth="1"/>
    <col min="16" max="16" width="6" style="4" customWidth="1"/>
    <col min="17" max="17" width="6.140625" style="4" customWidth="1"/>
    <col min="18" max="18" width="6.7109375" style="6" customWidth="1"/>
    <col min="19" max="19" width="6.5703125" style="4" customWidth="1"/>
    <col min="20" max="20" width="14.7109375" style="6" hidden="1" customWidth="1"/>
    <col min="21" max="21" width="6.7109375" style="6" customWidth="1"/>
    <col min="22" max="22" width="5.7109375" style="9" customWidth="1"/>
    <col min="23" max="23" width="5.28515625" style="4" customWidth="1"/>
    <col min="24" max="24" width="5.5703125" customWidth="1"/>
    <col min="25" max="25" width="6.42578125" style="6" customWidth="1"/>
    <col min="26" max="26" width="6" customWidth="1"/>
    <col min="27" max="27" width="10" style="4" hidden="1" customWidth="1"/>
    <col min="28" max="28" width="12" style="6" hidden="1" customWidth="1"/>
    <col min="29" max="29" width="7" style="1" customWidth="1"/>
    <col min="30" max="30" width="7.140625" style="9" customWidth="1"/>
    <col min="31" max="31" width="6.42578125" style="9" customWidth="1"/>
    <col min="32" max="32" width="7.7109375" style="9" customWidth="1"/>
    <col min="33" max="33" width="5.85546875" style="9" customWidth="1"/>
    <col min="34" max="34" width="6.28515625" style="9" customWidth="1"/>
    <col min="35" max="35" width="7.28515625" style="2" customWidth="1"/>
  </cols>
  <sheetData>
    <row r="2" spans="1:35" s="10" customFormat="1" ht="15.75" thickBot="1">
      <c r="B2" s="5" t="s">
        <v>100</v>
      </c>
      <c r="C2" s="8" t="s">
        <v>100</v>
      </c>
      <c r="D2" s="3" t="s">
        <v>92</v>
      </c>
      <c r="E2" s="10" t="s">
        <v>88</v>
      </c>
      <c r="F2" s="3" t="s">
        <v>87</v>
      </c>
      <c r="I2" s="10" t="s">
        <v>70</v>
      </c>
      <c r="J2" s="10" t="s">
        <v>69</v>
      </c>
      <c r="K2" s="10" t="s">
        <v>67</v>
      </c>
      <c r="L2" s="10" t="s">
        <v>103</v>
      </c>
      <c r="M2" s="10" t="s">
        <v>12</v>
      </c>
      <c r="N2" s="10" t="s">
        <v>11</v>
      </c>
      <c r="O2" s="10" t="s">
        <v>23</v>
      </c>
      <c r="P2" s="10" t="s">
        <v>11</v>
      </c>
      <c r="Q2" s="10" t="s">
        <v>33</v>
      </c>
      <c r="R2" s="10" t="s">
        <v>43</v>
      </c>
      <c r="S2" s="5" t="s">
        <v>59</v>
      </c>
      <c r="T2" s="10" t="s">
        <v>35</v>
      </c>
      <c r="U2" s="10" t="s">
        <v>12</v>
      </c>
      <c r="V2" s="10" t="s">
        <v>62</v>
      </c>
      <c r="W2" s="30" t="s">
        <v>60</v>
      </c>
      <c r="Y2" s="10" t="s">
        <v>73</v>
      </c>
      <c r="AA2" s="5" t="s">
        <v>41</v>
      </c>
      <c r="AB2" s="10" t="s">
        <v>36</v>
      </c>
      <c r="AC2" s="10" t="s">
        <v>85</v>
      </c>
      <c r="AD2" s="10" t="s">
        <v>4</v>
      </c>
      <c r="AE2" s="8" t="s">
        <v>5</v>
      </c>
      <c r="AF2" s="10" t="s">
        <v>7</v>
      </c>
      <c r="AG2" s="10" t="s">
        <v>8</v>
      </c>
      <c r="AH2" s="10" t="s">
        <v>40</v>
      </c>
      <c r="AI2" s="3" t="s">
        <v>14</v>
      </c>
    </row>
    <row r="3" spans="1:35" s="10" customFormat="1" ht="16.5" thickTop="1" thickBot="1">
      <c r="B3" s="5"/>
      <c r="C3" s="48"/>
      <c r="D3" s="45">
        <v>0.6</v>
      </c>
      <c r="E3" s="10" t="s">
        <v>91</v>
      </c>
      <c r="F3" s="3" t="s">
        <v>90</v>
      </c>
      <c r="G3" s="10" t="s">
        <v>9</v>
      </c>
      <c r="H3" s="10" t="s">
        <v>10</v>
      </c>
      <c r="I3" s="10" t="s">
        <v>11</v>
      </c>
      <c r="J3" s="10" t="s">
        <v>11</v>
      </c>
      <c r="K3" s="10" t="s">
        <v>68</v>
      </c>
      <c r="L3" s="10" t="s">
        <v>71</v>
      </c>
      <c r="M3" s="10" t="s">
        <v>71</v>
      </c>
      <c r="N3" s="10" t="s">
        <v>10</v>
      </c>
      <c r="O3" s="10" t="s">
        <v>24</v>
      </c>
      <c r="P3" s="10" t="s">
        <v>45</v>
      </c>
      <c r="Q3" s="10" t="s">
        <v>10</v>
      </c>
      <c r="R3" s="10" t="s">
        <v>33</v>
      </c>
      <c r="S3" s="5" t="s">
        <v>1</v>
      </c>
      <c r="T3" s="7" t="s">
        <v>2</v>
      </c>
      <c r="U3" s="7" t="s">
        <v>1</v>
      </c>
      <c r="V3" s="8" t="s">
        <v>3</v>
      </c>
      <c r="W3" s="5" t="s">
        <v>61</v>
      </c>
      <c r="X3" s="10" t="s">
        <v>17</v>
      </c>
      <c r="Y3" s="7" t="s">
        <v>74</v>
      </c>
      <c r="Z3" s="10" t="s">
        <v>13</v>
      </c>
      <c r="AA3" s="5" t="s">
        <v>42</v>
      </c>
      <c r="AB3" s="7" t="s">
        <v>34</v>
      </c>
      <c r="AC3" s="10" t="s">
        <v>83</v>
      </c>
      <c r="AF3" s="8"/>
      <c r="AG3" s="8"/>
      <c r="AH3" s="8"/>
      <c r="AI3" s="3" t="s">
        <v>15</v>
      </c>
    </row>
    <row r="4" spans="1:35" s="1" customFormat="1" ht="15.75" thickTop="1">
      <c r="B4" s="5" t="s">
        <v>101</v>
      </c>
      <c r="C4" s="8" t="s">
        <v>102</v>
      </c>
      <c r="D4" s="3" t="s">
        <v>93</v>
      </c>
      <c r="E4" s="1" t="s">
        <v>16</v>
      </c>
      <c r="F4" s="3" t="s">
        <v>16</v>
      </c>
      <c r="G4" s="5" t="s">
        <v>22</v>
      </c>
      <c r="H4" s="5" t="s">
        <v>22</v>
      </c>
      <c r="J4" s="5" t="s">
        <v>66</v>
      </c>
      <c r="L4" s="1" t="s">
        <v>104</v>
      </c>
      <c r="M4" s="5" t="s">
        <v>66</v>
      </c>
      <c r="N4" s="5" t="s">
        <v>72</v>
      </c>
      <c r="O4" s="5" t="s">
        <v>63</v>
      </c>
      <c r="P4" s="5" t="s">
        <v>64</v>
      </c>
      <c r="Q4" s="5" t="s">
        <v>72</v>
      </c>
      <c r="R4" s="7" t="s">
        <v>64</v>
      </c>
      <c r="S4" s="5" t="s">
        <v>64</v>
      </c>
      <c r="U4" s="1" t="s">
        <v>64</v>
      </c>
      <c r="W4" s="5" t="s">
        <v>39</v>
      </c>
      <c r="X4" s="1" t="s">
        <v>65</v>
      </c>
      <c r="Z4" s="1" t="s">
        <v>19</v>
      </c>
      <c r="AA4" s="5" t="s">
        <v>18</v>
      </c>
      <c r="AB4" s="1" t="s">
        <v>39</v>
      </c>
      <c r="AC4" s="1" t="s">
        <v>84</v>
      </c>
      <c r="AD4" s="1" t="s">
        <v>26</v>
      </c>
      <c r="AE4" s="8" t="s">
        <v>20</v>
      </c>
      <c r="AF4" s="1" t="s">
        <v>26</v>
      </c>
      <c r="AG4" s="1" t="s">
        <v>21</v>
      </c>
      <c r="AH4" s="1" t="s">
        <v>21</v>
      </c>
      <c r="AI4" s="3" t="s">
        <v>16</v>
      </c>
    </row>
    <row r="5" spans="1:35" ht="18">
      <c r="Q5" s="31"/>
    </row>
    <row r="6" spans="1:35">
      <c r="A6" t="s">
        <v>107</v>
      </c>
      <c r="B6" s="23">
        <f>D6*AE6/593</f>
        <v>5.8851373336394071</v>
      </c>
      <c r="C6" s="9">
        <f>D6*AE6</f>
        <v>3489.8864388481684</v>
      </c>
      <c r="D6" s="2">
        <f>G6*G6*I6/4*AH6/SQRT((($D$3*$D$3)+(G6*G6/4))*(($D$3*$D$3)+(G6*G6/4))*(($D$3*$D$3)+(G6*G6/4)))*0.000024706908245325</f>
        <v>0.231091630858314</v>
      </c>
      <c r="E6" s="2">
        <f>AH6*I6/G6/20219</f>
        <v>0.36684660965236571</v>
      </c>
      <c r="F6" s="2">
        <f>I6/H6*AH6*0.0000501785102431005</f>
        <v>3.7218763898461766</v>
      </c>
      <c r="G6" s="4">
        <v>2</v>
      </c>
      <c r="H6" s="4">
        <v>0.2</v>
      </c>
      <c r="I6">
        <v>6</v>
      </c>
      <c r="J6" s="4">
        <f t="shared" ref="J6:J19" si="0">G6*G6*I6*I6/(18*G6+40*H6)</f>
        <v>3.2727272727272729</v>
      </c>
      <c r="K6">
        <v>1</v>
      </c>
      <c r="L6">
        <v>1.1000000000000001</v>
      </c>
      <c r="M6" s="4">
        <f>J6*K6+L6</f>
        <v>4.372727272727273</v>
      </c>
      <c r="N6" s="4">
        <f>G6*PI()*I6/12*K6</f>
        <v>3.1415926535897931</v>
      </c>
      <c r="O6" s="4">
        <v>2.5</v>
      </c>
      <c r="P6" s="2">
        <f t="shared" ref="P6:P19" si="1">N6*O6/1000</f>
        <v>7.8539816339744835E-3</v>
      </c>
      <c r="Q6" s="4">
        <v>5</v>
      </c>
      <c r="R6" s="6">
        <f t="shared" ref="R6:R19" si="2">P6+Q6*2.5/1000</f>
        <v>2.0353981633974484E-2</v>
      </c>
      <c r="S6" s="25">
        <v>0.13</v>
      </c>
      <c r="T6" s="25">
        <f t="shared" ref="T6:T19" si="3">R6/2*SQRT(X6/M6)</f>
        <v>2.4527881839231526E-2</v>
      </c>
      <c r="U6" s="25">
        <f>R6+S6</f>
        <v>0.15035398163397448</v>
      </c>
      <c r="V6" s="9">
        <f t="shared" ref="V6:V19" si="4">U6/(2*M6)*1000000</f>
        <v>17192.243222180034</v>
      </c>
      <c r="W6" s="4">
        <f>1/V6*1000</f>
        <v>5.8165766216585472E-2</v>
      </c>
      <c r="X6">
        <v>25.4</v>
      </c>
      <c r="Y6" s="25">
        <f t="shared" ref="Y6:Y19" si="5">(U6)/2*SQRT(X6/M6)</f>
        <v>0.18118640184976872</v>
      </c>
      <c r="Z6">
        <v>1320</v>
      </c>
      <c r="AA6" s="25">
        <f>0.18*AH6/1000</f>
        <v>0.4450362960336709</v>
      </c>
      <c r="AB6" s="25">
        <f t="shared" ref="AB6:AB19" si="6">1/(S6/(2*M6*0.000001))*1000</f>
        <v>6.7272727272727276E-2</v>
      </c>
      <c r="AC6" s="39">
        <f>X6*Z6*Z6/2/1000000</f>
        <v>22.12848</v>
      </c>
      <c r="AD6" s="9">
        <f t="shared" ref="AD6:AD19" si="7">1/(SQRT(M6*X6))*1000000</f>
        <v>94887.050278944414</v>
      </c>
      <c r="AE6" s="9">
        <f>AD6/2/PI()</f>
        <v>15101.74308730321</v>
      </c>
      <c r="AF6" s="9">
        <f t="shared" ref="AF6:AF19" si="8">SQRT(AD6*AD6-V6*V6)</f>
        <v>93316.553106232604</v>
      </c>
      <c r="AG6" s="9">
        <f t="shared" ref="AG6:AG19" si="9">Z6/(M6*AF6)*1000000</f>
        <v>3234.9148336785265</v>
      </c>
      <c r="AH6" s="26">
        <f t="shared" ref="AH6:AH11" si="10">Z6*POWER(2.7181,(-(ATAN(AD6/V6)/(AD6/V6))))*SQRT(X6/M6)</f>
        <v>2472.4238668537273</v>
      </c>
      <c r="AI6" s="2">
        <f>I6/H6*AH6*0.0000501785102431005</f>
        <v>3.7218763898461766</v>
      </c>
    </row>
    <row r="7" spans="1:35">
      <c r="B7" s="23">
        <f t="shared" ref="B7:B31" si="11">D7*AE7/593</f>
        <v>3.9325362050153885</v>
      </c>
      <c r="C7" s="9">
        <f t="shared" ref="C7:C19" si="12">D7*AE7</f>
        <v>2331.9939695741255</v>
      </c>
      <c r="D7" s="2">
        <f t="shared" ref="D7:D19" si="13">G7*G7*I7/4*AH7/SQRT((($D$3*$D$3)+(G7*G7/4))*(($D$3*$D$3)+(G7*G7/4))*(($D$3*$D$3)+(G7*G7/4)))*0.000024706908245325</f>
        <v>0.22180421451087717</v>
      </c>
      <c r="E7" s="2">
        <f t="shared" ref="E7:E19" si="14">AH7*I7/G7/20219</f>
        <v>0.32317273270644287</v>
      </c>
      <c r="F7" s="2">
        <f t="shared" ref="F7:F19" si="15">I7/H7*AH7*0.0000501785102431005</f>
        <v>73.772527730172811</v>
      </c>
      <c r="G7" s="4">
        <v>2.25</v>
      </c>
      <c r="H7" s="4">
        <v>0.01</v>
      </c>
      <c r="I7">
        <v>8</v>
      </c>
      <c r="J7" s="4">
        <f t="shared" si="0"/>
        <v>7.9217603911980445</v>
      </c>
      <c r="K7">
        <v>1</v>
      </c>
      <c r="L7">
        <v>1.1000000000000001</v>
      </c>
      <c r="M7" s="4">
        <f t="shared" ref="M7:M19" si="16">J7*K7+L7</f>
        <v>9.0217603911980451</v>
      </c>
      <c r="N7" s="4">
        <f t="shared" ref="N7:N19" si="17">G7*PI()*I7/12*K7</f>
        <v>4.7123889803846897</v>
      </c>
      <c r="O7" s="4">
        <v>2.5</v>
      </c>
      <c r="P7" s="2">
        <f t="shared" si="1"/>
        <v>1.1780972450961723E-2</v>
      </c>
      <c r="Q7" s="4">
        <v>5</v>
      </c>
      <c r="R7" s="6">
        <f t="shared" si="2"/>
        <v>2.4280972450961724E-2</v>
      </c>
      <c r="S7" s="25">
        <v>0.13</v>
      </c>
      <c r="T7" s="25">
        <f t="shared" si="3"/>
        <v>2.0370762930845398E-2</v>
      </c>
      <c r="U7" s="25">
        <f t="shared" ref="U7:U19" si="18">R7+S7</f>
        <v>0.15428097245096173</v>
      </c>
      <c r="V7" s="9">
        <f t="shared" si="4"/>
        <v>8550.4915759835403</v>
      </c>
      <c r="W7" s="4">
        <f t="shared" ref="W7:W19" si="19">1/V7*1000</f>
        <v>0.1169523402384</v>
      </c>
      <c r="X7">
        <v>25.4</v>
      </c>
      <c r="Y7" s="25">
        <f t="shared" si="5"/>
        <v>0.12943555374012006</v>
      </c>
      <c r="Z7">
        <v>1320</v>
      </c>
      <c r="AA7" s="25">
        <f t="shared" ref="AA7:AA19" si="20">0.18*AH7/1000</f>
        <v>0.33079536755619815</v>
      </c>
      <c r="AB7" s="25">
        <f t="shared" si="6"/>
        <v>0.13879631371073914</v>
      </c>
      <c r="AC7" s="39">
        <f t="shared" ref="AC7:AC19" si="21">X7*Z7*Z7/2/1000000</f>
        <v>22.12848</v>
      </c>
      <c r="AD7" s="9">
        <f t="shared" si="7"/>
        <v>66059.836952922284</v>
      </c>
      <c r="AE7" s="9">
        <f t="shared" ref="AE7:AE19" si="22">AD7/2/PI()</f>
        <v>10513.749590902231</v>
      </c>
      <c r="AF7" s="9">
        <f t="shared" si="8"/>
        <v>65504.130801467101</v>
      </c>
      <c r="AG7" s="9">
        <f t="shared" si="9"/>
        <v>2233.6439918933715</v>
      </c>
      <c r="AH7" s="26">
        <f t="shared" si="10"/>
        <v>1837.7520419788784</v>
      </c>
      <c r="AI7" s="2">
        <f t="shared" ref="AI7:AI19" si="23">I7/H7*AH7*0.0000501785102431005</f>
        <v>73.772527730172811</v>
      </c>
    </row>
    <row r="8" spans="1:35" s="49" customFormat="1">
      <c r="A8" s="49" t="s">
        <v>108</v>
      </c>
      <c r="B8" s="19">
        <f t="shared" si="11"/>
        <v>3.7132931912802514</v>
      </c>
      <c r="C8" s="51">
        <f t="shared" si="12"/>
        <v>2201.982862429189</v>
      </c>
      <c r="D8" s="52">
        <f t="shared" si="13"/>
        <v>0.24219922304513331</v>
      </c>
      <c r="E8" s="52">
        <f t="shared" si="14"/>
        <v>0.33085230069453381</v>
      </c>
      <c r="F8" s="52">
        <f t="shared" si="15"/>
        <v>2.797243984454826</v>
      </c>
      <c r="G8" s="50">
        <v>2.5</v>
      </c>
      <c r="H8" s="50">
        <v>0.3</v>
      </c>
      <c r="I8" s="49">
        <v>10</v>
      </c>
      <c r="J8" s="50">
        <f t="shared" si="0"/>
        <v>10.964912280701755</v>
      </c>
      <c r="K8" s="49">
        <v>1</v>
      </c>
      <c r="L8" s="49">
        <v>1.1000000000000001</v>
      </c>
      <c r="M8" s="50">
        <f t="shared" si="16"/>
        <v>12.064912280701755</v>
      </c>
      <c r="N8" s="50">
        <f t="shared" si="17"/>
        <v>6.5449846949787363</v>
      </c>
      <c r="O8" s="50">
        <v>2.5</v>
      </c>
      <c r="P8" s="52">
        <f t="shared" si="1"/>
        <v>1.6362461737446838E-2</v>
      </c>
      <c r="Q8" s="50">
        <v>4</v>
      </c>
      <c r="R8" s="53">
        <f t="shared" si="2"/>
        <v>2.6362461737446836E-2</v>
      </c>
      <c r="S8" s="53">
        <v>0.1</v>
      </c>
      <c r="T8" s="53">
        <f t="shared" si="3"/>
        <v>1.9125409411289828E-2</v>
      </c>
      <c r="U8" s="53">
        <f t="shared" si="18"/>
        <v>0.12636246173744684</v>
      </c>
      <c r="V8" s="51">
        <f t="shared" si="4"/>
        <v>5236.7749883920824</v>
      </c>
      <c r="W8" s="50">
        <f t="shared" si="19"/>
        <v>0.19095722123188713</v>
      </c>
      <c r="X8" s="49">
        <v>25.4</v>
      </c>
      <c r="Y8" s="53">
        <f t="shared" si="5"/>
        <v>9.1673298154634847E-2</v>
      </c>
      <c r="Z8" s="49">
        <v>1320</v>
      </c>
      <c r="AA8" s="53">
        <f t="shared" si="20"/>
        <v>0.30102762004842498</v>
      </c>
      <c r="AB8" s="53">
        <f t="shared" si="6"/>
        <v>0.24129824561403512</v>
      </c>
      <c r="AC8" s="54">
        <f t="shared" si="21"/>
        <v>22.12848</v>
      </c>
      <c r="AD8" s="51">
        <f t="shared" si="7"/>
        <v>57124.321845153558</v>
      </c>
      <c r="AE8" s="51">
        <f t="shared" si="22"/>
        <v>9091.6181924285283</v>
      </c>
      <c r="AF8" s="51">
        <f t="shared" si="8"/>
        <v>56883.779181675673</v>
      </c>
      <c r="AG8" s="51">
        <f t="shared" si="9"/>
        <v>1923.3632810975555</v>
      </c>
      <c r="AH8" s="51">
        <f t="shared" si="10"/>
        <v>1672.3756669356944</v>
      </c>
      <c r="AI8" s="52">
        <f t="shared" si="23"/>
        <v>2.797243984454826</v>
      </c>
    </row>
    <row r="9" spans="1:35" s="49" customFormat="1">
      <c r="A9" s="49" t="s">
        <v>109</v>
      </c>
      <c r="B9" s="19">
        <f t="shared" si="11"/>
        <v>3.8895624223007403</v>
      </c>
      <c r="C9" s="51">
        <f t="shared" si="12"/>
        <v>2306.5105164243391</v>
      </c>
      <c r="D9" s="52">
        <f t="shared" si="13"/>
        <v>0.25369636819385949</v>
      </c>
      <c r="E9" s="52">
        <f t="shared" si="14"/>
        <v>0.34655778841678875</v>
      </c>
      <c r="F9" s="52">
        <f t="shared" si="15"/>
        <v>2.9300285561860293</v>
      </c>
      <c r="G9" s="50">
        <v>2.5</v>
      </c>
      <c r="H9" s="50">
        <v>0.3</v>
      </c>
      <c r="I9" s="49">
        <v>10</v>
      </c>
      <c r="J9" s="50">
        <f t="shared" si="0"/>
        <v>10.964912280701755</v>
      </c>
      <c r="K9" s="49">
        <v>1</v>
      </c>
      <c r="L9" s="49">
        <v>1.1000000000000001</v>
      </c>
      <c r="M9" s="50">
        <f t="shared" si="16"/>
        <v>12.064912280701755</v>
      </c>
      <c r="N9" s="50">
        <f t="shared" si="17"/>
        <v>6.5449846949787363</v>
      </c>
      <c r="O9" s="50">
        <v>2.5</v>
      </c>
      <c r="P9" s="52">
        <f t="shared" si="1"/>
        <v>1.6362461737446838E-2</v>
      </c>
      <c r="Q9" s="50">
        <v>4</v>
      </c>
      <c r="R9" s="53">
        <f t="shared" si="2"/>
        <v>2.6362461737446836E-2</v>
      </c>
      <c r="S9" s="53">
        <v>5.5E-2</v>
      </c>
      <c r="T9" s="53">
        <f t="shared" si="3"/>
        <v>1.9125409411289828E-2</v>
      </c>
      <c r="U9" s="53">
        <f t="shared" si="18"/>
        <v>8.1362461737446837E-2</v>
      </c>
      <c r="V9" s="51">
        <f t="shared" si="4"/>
        <v>3371.8629627995269</v>
      </c>
      <c r="W9" s="50">
        <f t="shared" si="19"/>
        <v>0.29657195770783601</v>
      </c>
      <c r="X9" s="49">
        <v>25.4</v>
      </c>
      <c r="Y9" s="53">
        <f t="shared" si="5"/>
        <v>5.9026748220129585E-2</v>
      </c>
      <c r="Z9" s="49">
        <v>1320</v>
      </c>
      <c r="AA9" s="53">
        <f t="shared" si="20"/>
        <v>0.31531733657995736</v>
      </c>
      <c r="AB9" s="53">
        <f t="shared" si="6"/>
        <v>0.43872408293460924</v>
      </c>
      <c r="AC9" s="54">
        <f t="shared" si="21"/>
        <v>22.12848</v>
      </c>
      <c r="AD9" s="51">
        <f t="shared" si="7"/>
        <v>57124.321845153558</v>
      </c>
      <c r="AE9" s="51">
        <f t="shared" si="22"/>
        <v>9091.6181924285283</v>
      </c>
      <c r="AF9" s="51">
        <f t="shared" si="8"/>
        <v>57024.719959231617</v>
      </c>
      <c r="AG9" s="51">
        <f t="shared" si="9"/>
        <v>1918.6095476894086</v>
      </c>
      <c r="AH9" s="51">
        <f t="shared" si="10"/>
        <v>1751.7629809997632</v>
      </c>
      <c r="AI9" s="52">
        <f t="shared" si="23"/>
        <v>2.9300285561860293</v>
      </c>
    </row>
    <row r="10" spans="1:35" s="61" customFormat="1">
      <c r="A10" s="61" t="s">
        <v>110</v>
      </c>
      <c r="B10" s="62">
        <f t="shared" si="11"/>
        <v>4.7955369233881173</v>
      </c>
      <c r="C10" s="63">
        <f t="shared" si="12"/>
        <v>2843.7533955691538</v>
      </c>
      <c r="D10" s="64">
        <f t="shared" si="13"/>
        <v>0.29585061929235051</v>
      </c>
      <c r="E10" s="64">
        <f t="shared" si="14"/>
        <v>0.41646735215671549</v>
      </c>
      <c r="F10" s="64">
        <f t="shared" si="15"/>
        <v>3.3450356955108114</v>
      </c>
      <c r="G10" s="62">
        <v>2.375</v>
      </c>
      <c r="H10" s="62">
        <v>0.3</v>
      </c>
      <c r="I10" s="61">
        <v>9.6999999999999993</v>
      </c>
      <c r="J10" s="62">
        <f t="shared" si="0"/>
        <v>9.6936329908675791</v>
      </c>
      <c r="K10" s="61">
        <v>1</v>
      </c>
      <c r="L10" s="61">
        <v>1.1000000000000001</v>
      </c>
      <c r="M10" s="62">
        <f t="shared" si="16"/>
        <v>10.793632990867579</v>
      </c>
      <c r="N10" s="62">
        <f t="shared" si="17"/>
        <v>6.0312033964229039</v>
      </c>
      <c r="O10" s="62">
        <v>2.5</v>
      </c>
      <c r="P10" s="64">
        <f t="shared" si="1"/>
        <v>1.5078008491057259E-2</v>
      </c>
      <c r="Q10" s="62">
        <v>4</v>
      </c>
      <c r="R10" s="65">
        <f t="shared" si="2"/>
        <v>2.507800849105726E-2</v>
      </c>
      <c r="S10" s="65">
        <v>0.04</v>
      </c>
      <c r="T10" s="65">
        <f t="shared" si="3"/>
        <v>1.9235172450268106E-2</v>
      </c>
      <c r="U10" s="65">
        <f t="shared" si="18"/>
        <v>6.5078008491057257E-2</v>
      </c>
      <c r="V10" s="63">
        <f t="shared" si="4"/>
        <v>3014.6480126811484</v>
      </c>
      <c r="W10" s="62">
        <f t="shared" si="19"/>
        <v>0.33171368458058437</v>
      </c>
      <c r="X10" s="61">
        <v>25.4</v>
      </c>
      <c r="Y10" s="65">
        <f t="shared" si="5"/>
        <v>4.9915714658597461E-2</v>
      </c>
      <c r="Z10" s="61">
        <v>1450</v>
      </c>
      <c r="AA10" s="65">
        <f t="shared" si="20"/>
        <v>0.37111201810486694</v>
      </c>
      <c r="AB10" s="65">
        <f t="shared" si="6"/>
        <v>0.53968164954337894</v>
      </c>
      <c r="AC10" s="66">
        <f t="shared" si="21"/>
        <v>26.701750000000001</v>
      </c>
      <c r="AD10" s="63">
        <f t="shared" si="7"/>
        <v>60394.768126632589</v>
      </c>
      <c r="AE10" s="63">
        <f t="shared" si="22"/>
        <v>9612.1258842424249</v>
      </c>
      <c r="AF10" s="63">
        <f t="shared" si="8"/>
        <v>60319.482047091165</v>
      </c>
      <c r="AG10" s="63">
        <f t="shared" si="9"/>
        <v>2227.1155571893028</v>
      </c>
      <c r="AH10" s="63">
        <f t="shared" si="10"/>
        <v>2061.7334339159274</v>
      </c>
      <c r="AI10" s="64">
        <f t="shared" si="23"/>
        <v>3.3450356955108114</v>
      </c>
    </row>
    <row r="11" spans="1:35" s="67" customFormat="1">
      <c r="A11" s="67" t="s">
        <v>111</v>
      </c>
      <c r="B11" s="68">
        <f>D11*AE11/593</f>
        <v>7.4492667905072265</v>
      </c>
      <c r="C11" s="69">
        <f t="shared" si="12"/>
        <v>4417.4152067707855</v>
      </c>
      <c r="D11" s="70">
        <f t="shared" si="13"/>
        <v>0.4207188228730287</v>
      </c>
      <c r="E11" s="70">
        <f t="shared" si="14"/>
        <v>0.7506721582314736</v>
      </c>
      <c r="F11" s="70">
        <f t="shared" si="15"/>
        <v>2.2213374701519526</v>
      </c>
      <c r="G11" s="68">
        <v>1.75</v>
      </c>
      <c r="H11" s="68">
        <v>0.6</v>
      </c>
      <c r="I11" s="67">
        <v>12</v>
      </c>
      <c r="J11" s="68">
        <f t="shared" si="0"/>
        <v>7.9459459459459456</v>
      </c>
      <c r="K11" s="67">
        <v>1</v>
      </c>
      <c r="L11" s="67">
        <v>1.1000000000000001</v>
      </c>
      <c r="M11" s="68">
        <f t="shared" si="16"/>
        <v>9.0459459459459453</v>
      </c>
      <c r="N11" s="68">
        <f t="shared" si="17"/>
        <v>5.497787143782138</v>
      </c>
      <c r="O11" s="68">
        <v>2.5</v>
      </c>
      <c r="P11" s="70">
        <f t="shared" si="1"/>
        <v>1.3744467859455345E-2</v>
      </c>
      <c r="Q11" s="68">
        <v>8</v>
      </c>
      <c r="R11" s="71">
        <f t="shared" si="2"/>
        <v>3.3744467859455347E-2</v>
      </c>
      <c r="S11" s="71">
        <v>0.04</v>
      </c>
      <c r="T11" s="71">
        <f t="shared" si="3"/>
        <v>2.8272385397936011E-2</v>
      </c>
      <c r="U11" s="71">
        <f t="shared" si="18"/>
        <v>7.3744467859455348E-2</v>
      </c>
      <c r="V11" s="69">
        <f t="shared" si="4"/>
        <v>4076.1059318790681</v>
      </c>
      <c r="W11" s="68">
        <f t="shared" si="19"/>
        <v>0.2453321912414097</v>
      </c>
      <c r="X11" s="67">
        <v>25.4</v>
      </c>
      <c r="Y11" s="71">
        <f t="shared" si="5"/>
        <v>6.1785891096931903E-2</v>
      </c>
      <c r="Z11" s="67">
        <v>1450</v>
      </c>
      <c r="AA11" s="71">
        <f t="shared" si="20"/>
        <v>0.39841830964115682</v>
      </c>
      <c r="AB11" s="71">
        <f t="shared" si="6"/>
        <v>0.45229729729729723</v>
      </c>
      <c r="AC11" s="72">
        <f t="shared" si="21"/>
        <v>26.701750000000001</v>
      </c>
      <c r="AD11" s="69">
        <f t="shared" si="7"/>
        <v>65971.467911409229</v>
      </c>
      <c r="AE11" s="69">
        <f t="shared" si="22"/>
        <v>10499.685221129135</v>
      </c>
      <c r="AF11" s="69">
        <f t="shared" si="8"/>
        <v>65845.424585298242</v>
      </c>
      <c r="AG11" s="69">
        <f t="shared" si="9"/>
        <v>2434.3802250726112</v>
      </c>
      <c r="AH11" s="69">
        <f t="shared" si="10"/>
        <v>2213.4350535619824</v>
      </c>
      <c r="AI11" s="70">
        <f t="shared" si="23"/>
        <v>2.2213374701519526</v>
      </c>
    </row>
    <row r="12" spans="1:35" s="24" customFormat="1">
      <c r="A12" s="24" t="s">
        <v>113</v>
      </c>
      <c r="B12" s="23">
        <f>D12*AE12/593</f>
        <v>5.9578460806711355</v>
      </c>
      <c r="C12" s="26">
        <f t="shared" si="12"/>
        <v>3533.0027258379832</v>
      </c>
      <c r="D12" s="43">
        <f t="shared" si="13"/>
        <v>0.28514503434708444</v>
      </c>
      <c r="E12" s="43">
        <f t="shared" si="14"/>
        <v>0.76024264590393209</v>
      </c>
      <c r="F12" s="43">
        <f t="shared" si="15"/>
        <v>4.8206952849880746</v>
      </c>
      <c r="G12" s="23">
        <v>1.25</v>
      </c>
      <c r="H12" s="23">
        <v>0.2</v>
      </c>
      <c r="I12" s="24">
        <v>13</v>
      </c>
      <c r="J12" s="23">
        <f t="shared" si="0"/>
        <v>8.6577868852459012</v>
      </c>
      <c r="K12" s="24">
        <v>1</v>
      </c>
      <c r="L12" s="24">
        <v>1.1000000000000001</v>
      </c>
      <c r="M12" s="23">
        <v>11</v>
      </c>
      <c r="N12" s="23">
        <f t="shared" si="17"/>
        <v>4.2542400517361783</v>
      </c>
      <c r="O12" s="23">
        <v>4</v>
      </c>
      <c r="P12" s="43">
        <f t="shared" si="1"/>
        <v>1.7016960206944712E-2</v>
      </c>
      <c r="Q12" s="23">
        <v>8</v>
      </c>
      <c r="R12" s="25">
        <f t="shared" si="2"/>
        <v>3.7016960206944713E-2</v>
      </c>
      <c r="S12" s="25">
        <v>0.04</v>
      </c>
      <c r="T12" s="25">
        <f t="shared" si="3"/>
        <v>2.1613248327881678E-2</v>
      </c>
      <c r="U12" s="25">
        <v>0.2</v>
      </c>
      <c r="V12" s="26">
        <f t="shared" si="4"/>
        <v>9090.9090909090919</v>
      </c>
      <c r="W12" s="23">
        <f t="shared" si="19"/>
        <v>0.10999999999999999</v>
      </c>
      <c r="X12" s="24">
        <v>15</v>
      </c>
      <c r="Y12" s="25">
        <f t="shared" si="5"/>
        <v>0.11677484162422845</v>
      </c>
      <c r="Z12" s="24">
        <v>1500</v>
      </c>
      <c r="AA12" s="25">
        <f t="shared" si="20"/>
        <v>0.26604252791881622</v>
      </c>
      <c r="AB12" s="25">
        <f t="shared" si="6"/>
        <v>0.55000000000000004</v>
      </c>
      <c r="AC12" s="44">
        <f t="shared" si="21"/>
        <v>16.875</v>
      </c>
      <c r="AD12" s="26">
        <f t="shared" si="7"/>
        <v>77849.894416152296</v>
      </c>
      <c r="AE12" s="26">
        <f t="shared" si="22"/>
        <v>12390.19551551278</v>
      </c>
      <c r="AF12" s="26">
        <f t="shared" si="8"/>
        <v>77317.277710139839</v>
      </c>
      <c r="AG12" s="26">
        <f t="shared" si="9"/>
        <v>1763.6890537566462</v>
      </c>
      <c r="AH12" s="26">
        <f>Z12*POWER(2.7181,(-(ATAN(AD12/V12)/(AD12/V12))))*SQRT(X12/M12)</f>
        <v>1478.0140439934235</v>
      </c>
      <c r="AI12" s="43">
        <f t="shared" si="23"/>
        <v>4.8206952849880746</v>
      </c>
    </row>
    <row r="13" spans="1:35" s="24" customFormat="1">
      <c r="B13" s="23">
        <f>D13*AE13/593</f>
        <v>4.7111380261962577</v>
      </c>
      <c r="C13" s="26">
        <f>D13*AE13</f>
        <v>2793.7048495343806</v>
      </c>
      <c r="D13" s="43">
        <f>G13*G13*I13/4*AH13/SQRT((($D$3*$D$3)+(G13*G13/4))*(($D$3*$D$3)+(G13*G13/4))*(($D$3*$D$3)+(G13*G13/4)))*0.000024706908245325</f>
        <v>0.27019967292787667</v>
      </c>
      <c r="E13" s="43">
        <f>AH13*I13/G13/20219</f>
        <v>0.56799239483717701</v>
      </c>
      <c r="F13" s="43">
        <f>I13/H13*AH13*0.0000501785102431005</f>
        <v>4.3219647428934138</v>
      </c>
      <c r="G13" s="23">
        <v>1.5</v>
      </c>
      <c r="H13" s="23">
        <v>0.2</v>
      </c>
      <c r="I13" s="24">
        <v>8</v>
      </c>
      <c r="J13" s="23">
        <f t="shared" si="0"/>
        <v>4.1142857142857139</v>
      </c>
      <c r="K13" s="24">
        <v>2</v>
      </c>
      <c r="L13" s="24">
        <v>1.1000000000000001</v>
      </c>
      <c r="M13" s="23">
        <f>J13*K13+L13</f>
        <v>9.3285714285714274</v>
      </c>
      <c r="N13" s="23">
        <f>G13*PI()*I13/12*K13</f>
        <v>6.2831853071795862</v>
      </c>
      <c r="O13" s="23">
        <v>4</v>
      </c>
      <c r="P13" s="43">
        <f t="shared" si="1"/>
        <v>2.5132741228718346E-2</v>
      </c>
      <c r="Q13" s="23">
        <v>8</v>
      </c>
      <c r="R13" s="25">
        <f t="shared" si="2"/>
        <v>4.5132741228718347E-2</v>
      </c>
      <c r="S13" s="25">
        <v>0.04</v>
      </c>
      <c r="T13" s="25">
        <f t="shared" si="3"/>
        <v>3.7236684415115927E-2</v>
      </c>
      <c r="U13" s="25">
        <f>R13+S13</f>
        <v>8.5132741228718348E-2</v>
      </c>
      <c r="V13" s="26">
        <f t="shared" si="4"/>
        <v>4563.0106324734197</v>
      </c>
      <c r="W13" s="23">
        <f t="shared" si="19"/>
        <v>0.21915355464730557</v>
      </c>
      <c r="X13" s="24">
        <v>25.4</v>
      </c>
      <c r="Y13" s="25">
        <f t="shared" si="5"/>
        <v>7.0238610202350768E-2</v>
      </c>
      <c r="Z13" s="24">
        <v>1450</v>
      </c>
      <c r="AA13" s="25">
        <f>0.18*AH13/1000</f>
        <v>0.38759304030343467</v>
      </c>
      <c r="AB13" s="25">
        <f t="shared" si="6"/>
        <v>0.4664285714285713</v>
      </c>
      <c r="AC13" s="44">
        <f>X13*Z13*Z13/2/1000000</f>
        <v>26.701750000000001</v>
      </c>
      <c r="AD13" s="26">
        <f t="shared" si="7"/>
        <v>64964.420841013474</v>
      </c>
      <c r="AE13" s="26">
        <f t="shared" si="22"/>
        <v>10339.40870194944</v>
      </c>
      <c r="AF13" s="26">
        <f t="shared" si="8"/>
        <v>64803.972942839238</v>
      </c>
      <c r="AG13" s="26">
        <f t="shared" si="9"/>
        <v>2398.5635464669062</v>
      </c>
      <c r="AH13" s="26">
        <f t="shared" ref="AH13:AH19" si="24">Z13*POWER(2.7181,(-(ATAN(AD13/V13)/(AD13/V13))))*SQRT(X13/M13)</f>
        <v>2153.2946683524151</v>
      </c>
      <c r="AI13" s="43">
        <f>I13/H13*AH13*0.0000501785102431005</f>
        <v>4.3219647428934138</v>
      </c>
    </row>
    <row r="14" spans="1:35" s="55" customFormat="1">
      <c r="A14" s="55" t="s">
        <v>112</v>
      </c>
      <c r="B14" s="56">
        <f>D14*AE14/593</f>
        <v>4.9879665205282935</v>
      </c>
      <c r="C14" s="57">
        <f>D14*AE14</f>
        <v>2957.8641466732779</v>
      </c>
      <c r="D14" s="58">
        <f>G14*G14*I14/4*AH14/SQRT((($D$3*$D$3)+(G14*G14/4))*(($D$3*$D$3)+(G14*G14/4))*(($D$3*$D$3)+(G14*G14/4)))*0.000024706908245325</f>
        <v>0.28715735259127129</v>
      </c>
      <c r="E14" s="58">
        <f>AH14*I14/G14/20219</f>
        <v>0.76560781086240437</v>
      </c>
      <c r="F14" s="58">
        <f>I14/H14*AH14*0.0000501785102431005</f>
        <v>4.8547157724703816</v>
      </c>
      <c r="G14" s="56">
        <v>1.25</v>
      </c>
      <c r="H14" s="56">
        <v>0.2</v>
      </c>
      <c r="I14" s="55">
        <v>9</v>
      </c>
      <c r="J14" s="56">
        <f t="shared" si="0"/>
        <v>4.1495901639344259</v>
      </c>
      <c r="K14" s="55">
        <v>2</v>
      </c>
      <c r="L14" s="55">
        <v>1.1000000000000001</v>
      </c>
      <c r="M14" s="56">
        <f>J14*K14+L14</f>
        <v>9.3991803278688515</v>
      </c>
      <c r="N14" s="56">
        <f>G14*PI()*I14/12*K14</f>
        <v>5.8904862254808625</v>
      </c>
      <c r="O14" s="56">
        <v>4</v>
      </c>
      <c r="P14" s="58">
        <f t="shared" si="1"/>
        <v>2.356194490192345E-2</v>
      </c>
      <c r="Q14" s="56">
        <v>8</v>
      </c>
      <c r="R14" s="59">
        <f t="shared" si="2"/>
        <v>4.3561944901923451E-2</v>
      </c>
      <c r="S14" s="59">
        <v>0.04</v>
      </c>
      <c r="T14" s="59">
        <f t="shared" si="3"/>
        <v>3.5805449739060906E-2</v>
      </c>
      <c r="U14" s="59">
        <f>R14+S14</f>
        <v>8.3561944901923452E-2</v>
      </c>
      <c r="V14" s="57">
        <f t="shared" si="4"/>
        <v>4445.1719185639931</v>
      </c>
      <c r="W14" s="56">
        <f t="shared" si="19"/>
        <v>0.22496317764984186</v>
      </c>
      <c r="X14" s="55">
        <v>25.4</v>
      </c>
      <c r="Y14" s="59">
        <f t="shared" si="5"/>
        <v>6.8683182649907068E-2</v>
      </c>
      <c r="Z14" s="55">
        <v>1450</v>
      </c>
      <c r="AA14" s="59">
        <f>0.18*AH14/1000</f>
        <v>0.3869956081956738</v>
      </c>
      <c r="AB14" s="59">
        <f t="shared" si="6"/>
        <v>0.46995901639344245</v>
      </c>
      <c r="AC14" s="60">
        <f>X14*Z14*Z14/2/1000000</f>
        <v>26.701750000000001</v>
      </c>
      <c r="AD14" s="57">
        <f t="shared" si="7"/>
        <v>64719.946674894047</v>
      </c>
      <c r="AE14" s="57">
        <f t="shared" si="22"/>
        <v>10300.499429953263</v>
      </c>
      <c r="AF14" s="57">
        <f t="shared" si="8"/>
        <v>64567.11193955897</v>
      </c>
      <c r="AG14" s="57">
        <f t="shared" si="9"/>
        <v>2389.2778633348189</v>
      </c>
      <c r="AH14" s="57">
        <f t="shared" si="24"/>
        <v>2149.9756010870769</v>
      </c>
      <c r="AI14" s="58">
        <f>I14/H14*AH14*0.0000501785102431005</f>
        <v>4.8547157724703816</v>
      </c>
    </row>
    <row r="15" spans="1:35" s="55" customFormat="1">
      <c r="A15" s="55" t="s">
        <v>112</v>
      </c>
      <c r="B15" s="56">
        <f>D15*AE15/593</f>
        <v>4.7111380261962577</v>
      </c>
      <c r="C15" s="57">
        <f>D15*AE15</f>
        <v>2793.7048495343806</v>
      </c>
      <c r="D15" s="58">
        <f>G15*G15*I15/4*AH15/SQRT((($D$3*$D$3)+(G15*G15/4))*(($D$3*$D$3)+(G15*G15/4))*(($D$3*$D$3)+(G15*G15/4)))*0.000024706908245325</f>
        <v>0.27019967292787667</v>
      </c>
      <c r="E15" s="58">
        <f>AH15*I15/G15/20219</f>
        <v>0.56799239483717701</v>
      </c>
      <c r="F15" s="58">
        <f>I15/H15*AH15*0.0000501785102431005</f>
        <v>4.3219647428934138</v>
      </c>
      <c r="G15" s="56">
        <v>1.5</v>
      </c>
      <c r="H15" s="56">
        <v>0.2</v>
      </c>
      <c r="I15" s="55">
        <v>8</v>
      </c>
      <c r="J15" s="56">
        <f t="shared" ref="J15" si="25">G15*G15*I15*I15/(18*G15+40*H15)</f>
        <v>4.1142857142857139</v>
      </c>
      <c r="K15" s="55">
        <v>2</v>
      </c>
      <c r="L15" s="55">
        <v>1.1000000000000001</v>
      </c>
      <c r="M15" s="56">
        <f>J15*K15+L15</f>
        <v>9.3285714285714274</v>
      </c>
      <c r="N15" s="56">
        <f>G15*PI()*I15/12*K15</f>
        <v>6.2831853071795862</v>
      </c>
      <c r="O15" s="56">
        <v>4</v>
      </c>
      <c r="P15" s="58">
        <f t="shared" ref="P15" si="26">N15*O15/1000</f>
        <v>2.5132741228718346E-2</v>
      </c>
      <c r="Q15" s="56">
        <v>8</v>
      </c>
      <c r="R15" s="59">
        <f t="shared" ref="R15" si="27">P15+Q15*2.5/1000</f>
        <v>4.5132741228718347E-2</v>
      </c>
      <c r="S15" s="59">
        <v>0.04</v>
      </c>
      <c r="T15" s="59">
        <f t="shared" ref="T15" si="28">R15/2*SQRT(X15/M15)</f>
        <v>3.7236684415115927E-2</v>
      </c>
      <c r="U15" s="59">
        <f>R15+S15</f>
        <v>8.5132741228718348E-2</v>
      </c>
      <c r="V15" s="57">
        <f t="shared" ref="V15" si="29">U15/(2*M15)*1000000</f>
        <v>4563.0106324734197</v>
      </c>
      <c r="W15" s="56">
        <f t="shared" ref="W15" si="30">1/V15*1000</f>
        <v>0.21915355464730557</v>
      </c>
      <c r="X15" s="55">
        <v>25.4</v>
      </c>
      <c r="Y15" s="59">
        <f t="shared" ref="Y15" si="31">(U15)/2*SQRT(X15/M15)</f>
        <v>7.0238610202350768E-2</v>
      </c>
      <c r="Z15" s="55">
        <v>1450</v>
      </c>
      <c r="AA15" s="59">
        <f>0.18*AH15/1000</f>
        <v>0.38759304030343467</v>
      </c>
      <c r="AB15" s="59">
        <f t="shared" ref="AB15" si="32">1/(S15/(2*M15*0.000001))*1000</f>
        <v>0.4664285714285713</v>
      </c>
      <c r="AC15" s="60">
        <f>X15*Z15*Z15/2/1000000</f>
        <v>26.701750000000001</v>
      </c>
      <c r="AD15" s="57">
        <f t="shared" ref="AD15" si="33">1/(SQRT(M15*X15))*1000000</f>
        <v>64964.420841013474</v>
      </c>
      <c r="AE15" s="57">
        <f t="shared" ref="AE15" si="34">AD15/2/PI()</f>
        <v>10339.40870194944</v>
      </c>
      <c r="AF15" s="57">
        <f t="shared" ref="AF15" si="35">SQRT(AD15*AD15-V15*V15)</f>
        <v>64803.972942839238</v>
      </c>
      <c r="AG15" s="57">
        <f t="shared" ref="AG15" si="36">Z15/(M15*AF15)*1000000</f>
        <v>2398.5635464669062</v>
      </c>
      <c r="AH15" s="57">
        <f t="shared" si="24"/>
        <v>2153.2946683524151</v>
      </c>
      <c r="AI15" s="58">
        <f>I15/H15*AH15*0.0000501785102431005</f>
        <v>4.3219647428934138</v>
      </c>
    </row>
    <row r="16" spans="1:35" s="55" customFormat="1">
      <c r="A16" s="55" t="s">
        <v>112</v>
      </c>
      <c r="B16" s="56">
        <f>D16*AE16/593</f>
        <v>5.1751377725469512</v>
      </c>
      <c r="C16" s="57">
        <f>D16*AE16</f>
        <v>3068.856699120342</v>
      </c>
      <c r="D16" s="58">
        <f>G16*G16*I16/4*AH16/SQRT((($D$3*$D$3)+(G16*G16/4))*(($D$3*$D$3)+(G16*G16/4))*(($D$3*$D$3)+(G16*G16/4)))*0.000024706908245325</f>
        <v>0.28815408130930464</v>
      </c>
      <c r="E16" s="58">
        <f>AH16*I16/G16/20219</f>
        <v>1.0992625798641185</v>
      </c>
      <c r="F16" s="58">
        <f>I16/H16*AH16*0.0000501785102431005</f>
        <v>5.5763353600496828</v>
      </c>
      <c r="G16" s="56">
        <v>1</v>
      </c>
      <c r="H16" s="56">
        <v>0.2</v>
      </c>
      <c r="I16" s="55">
        <v>10</v>
      </c>
      <c r="J16" s="56">
        <f t="shared" ref="J16" si="37">G16*G16*I16*I16/(18*G16+40*H16)</f>
        <v>3.8461538461538463</v>
      </c>
      <c r="K16" s="55">
        <v>2</v>
      </c>
      <c r="L16" s="55">
        <v>1.1000000000000001</v>
      </c>
      <c r="M16" s="56">
        <f>J16*K16+L16</f>
        <v>8.792307692307693</v>
      </c>
      <c r="N16" s="56">
        <f>G16*PI()*I16/12*K16</f>
        <v>5.2359877559829888</v>
      </c>
      <c r="O16" s="56">
        <v>4</v>
      </c>
      <c r="P16" s="58">
        <f t="shared" ref="P16" si="38">N16*O16/1000</f>
        <v>2.0943951023931956E-2</v>
      </c>
      <c r="Q16" s="56">
        <v>8</v>
      </c>
      <c r="R16" s="59">
        <f t="shared" ref="R16" si="39">P16+Q16*2.5/1000</f>
        <v>4.094395102393196E-2</v>
      </c>
      <c r="S16" s="59">
        <v>0.04</v>
      </c>
      <c r="T16" s="59">
        <f t="shared" ref="T16" si="40">R16/2*SQRT(X16/M16)</f>
        <v>3.4795667539102723E-2</v>
      </c>
      <c r="U16" s="59">
        <f>R16+S16</f>
        <v>8.0943951023931954E-2</v>
      </c>
      <c r="V16" s="57">
        <f t="shared" ref="V16" si="41">U16/(2*M16)*1000000</f>
        <v>4603.1118255079409</v>
      </c>
      <c r="W16" s="56">
        <f t="shared" ref="W16" si="42">1/V16*1000</f>
        <v>0.21724434206845555</v>
      </c>
      <c r="X16" s="55">
        <v>25.4</v>
      </c>
      <c r="Y16" s="59">
        <f t="shared" ref="Y16" si="43">(U16)/2*SQRT(X16/M16)</f>
        <v>6.8789130963054612E-2</v>
      </c>
      <c r="Z16" s="55">
        <v>1450</v>
      </c>
      <c r="AA16" s="59">
        <f>0.18*AH16/1000</f>
        <v>0.400067821840907</v>
      </c>
      <c r="AB16" s="59">
        <f t="shared" ref="AB16" si="44">1/(S16/(2*M16*0.000001))*1000</f>
        <v>0.43961538461538463</v>
      </c>
      <c r="AC16" s="60">
        <f>X16*Z16*Z16/2/1000000</f>
        <v>26.701750000000001</v>
      </c>
      <c r="AD16" s="57">
        <f t="shared" ref="AD16" si="45">1/(SQRT(M16*X16))*1000000</f>
        <v>66916.266582582481</v>
      </c>
      <c r="AE16" s="57">
        <f t="shared" ref="AE16" si="46">AD16/2/PI()</f>
        <v>10650.054599873012</v>
      </c>
      <c r="AF16" s="57">
        <f t="shared" ref="AF16" si="47">SQRT(AD16*AD16-V16*V16)</f>
        <v>66757.756814269262</v>
      </c>
      <c r="AG16" s="57">
        <f t="shared" ref="AG16" si="48">Z16/(M16*AF16)*1000000</f>
        <v>2470.377874561475</v>
      </c>
      <c r="AH16" s="57">
        <f t="shared" si="24"/>
        <v>2222.5990102272613</v>
      </c>
      <c r="AI16" s="58">
        <f>I16/H16*AH16*0.0000501785102431005</f>
        <v>5.5763353600496828</v>
      </c>
    </row>
    <row r="17" spans="1:35" s="24" customFormat="1">
      <c r="B17" s="23">
        <f t="shared" si="11"/>
        <v>2.9397709386817055</v>
      </c>
      <c r="C17" s="9">
        <f t="shared" si="12"/>
        <v>1743.2841666382512</v>
      </c>
      <c r="D17" s="2">
        <f t="shared" si="13"/>
        <v>0.20840372102574856</v>
      </c>
      <c r="E17" s="43">
        <f t="shared" si="14"/>
        <v>0.27092183733726577</v>
      </c>
      <c r="F17" s="43">
        <f t="shared" si="15"/>
        <v>3.7794112024039488</v>
      </c>
      <c r="G17" s="23">
        <v>2.75</v>
      </c>
      <c r="H17" s="23">
        <v>0.2</v>
      </c>
      <c r="I17" s="24">
        <v>10</v>
      </c>
      <c r="J17" s="23">
        <f t="shared" si="0"/>
        <v>13.152173913043478</v>
      </c>
      <c r="K17" s="24">
        <v>1</v>
      </c>
      <c r="L17" s="24">
        <v>1.1000000000000001</v>
      </c>
      <c r="M17" s="23">
        <f t="shared" si="16"/>
        <v>14.252173913043478</v>
      </c>
      <c r="N17" s="23">
        <f t="shared" si="17"/>
        <v>7.1994831644766082</v>
      </c>
      <c r="O17" s="23">
        <v>2.5</v>
      </c>
      <c r="P17" s="43">
        <f t="shared" si="1"/>
        <v>1.7998707911191521E-2</v>
      </c>
      <c r="Q17" s="23">
        <v>5</v>
      </c>
      <c r="R17" s="25">
        <f t="shared" si="2"/>
        <v>3.0498707911191521E-2</v>
      </c>
      <c r="S17" s="25">
        <v>0.13</v>
      </c>
      <c r="T17" s="25">
        <f t="shared" si="3"/>
        <v>2.0357654840779719E-2</v>
      </c>
      <c r="U17" s="25">
        <f t="shared" si="18"/>
        <v>0.16049870791119153</v>
      </c>
      <c r="V17" s="26">
        <f t="shared" si="4"/>
        <v>5630.6746216555903</v>
      </c>
      <c r="W17" s="23">
        <f t="shared" si="19"/>
        <v>0.17759861245648917</v>
      </c>
      <c r="X17" s="24">
        <v>25.4</v>
      </c>
      <c r="Y17" s="25">
        <f t="shared" si="5"/>
        <v>0.1071316630055725</v>
      </c>
      <c r="Z17" s="24">
        <v>1320</v>
      </c>
      <c r="AA17" s="25">
        <f t="shared" si="20"/>
        <v>0.27114954714154776</v>
      </c>
      <c r="AB17" s="25">
        <f t="shared" si="6"/>
        <v>0.21926421404682275</v>
      </c>
      <c r="AC17" s="44">
        <f t="shared" si="21"/>
        <v>22.12848</v>
      </c>
      <c r="AD17" s="26">
        <f t="shared" si="7"/>
        <v>52558.454369953237</v>
      </c>
      <c r="AE17" s="26">
        <f t="shared" si="22"/>
        <v>8364.9378142478854</v>
      </c>
      <c r="AF17" s="26">
        <f t="shared" si="8"/>
        <v>52255.972185612438</v>
      </c>
      <c r="AG17" s="26">
        <f t="shared" si="9"/>
        <v>1772.380185282052</v>
      </c>
      <c r="AH17" s="26">
        <f t="shared" si="24"/>
        <v>1506.3863730085986</v>
      </c>
      <c r="AI17" s="43">
        <f t="shared" si="23"/>
        <v>3.7794112024039488</v>
      </c>
    </row>
    <row r="18" spans="1:35" s="24" customFormat="1">
      <c r="B18" s="23">
        <f t="shared" si="11"/>
        <v>3.5268958771126084</v>
      </c>
      <c r="C18" s="9">
        <f t="shared" si="12"/>
        <v>2091.4492551277767</v>
      </c>
      <c r="D18" s="43">
        <f t="shared" si="13"/>
        <v>0.16657200309408032</v>
      </c>
      <c r="E18" s="43">
        <f t="shared" si="14"/>
        <v>0.20829599606023991</v>
      </c>
      <c r="F18" s="43">
        <f t="shared" si="15"/>
        <v>3.1699295949773809</v>
      </c>
      <c r="G18" s="23">
        <v>3</v>
      </c>
      <c r="H18" s="23">
        <v>0.2</v>
      </c>
      <c r="I18" s="24">
        <v>6</v>
      </c>
      <c r="J18" s="23">
        <f t="shared" si="0"/>
        <v>5.225806451612903</v>
      </c>
      <c r="K18" s="24">
        <v>1</v>
      </c>
      <c r="L18" s="24">
        <v>1.1000000000000001</v>
      </c>
      <c r="M18" s="23">
        <f t="shared" si="16"/>
        <v>6.3258064516129036</v>
      </c>
      <c r="N18" s="23">
        <f t="shared" si="17"/>
        <v>4.7123889803846897</v>
      </c>
      <c r="O18" s="23">
        <v>4</v>
      </c>
      <c r="P18" s="43">
        <f t="shared" si="1"/>
        <v>1.8849555921538759E-2</v>
      </c>
      <c r="Q18" s="23">
        <v>5</v>
      </c>
      <c r="R18" s="25">
        <f t="shared" si="2"/>
        <v>3.1349555921538763E-2</v>
      </c>
      <c r="S18" s="25">
        <v>0.13</v>
      </c>
      <c r="T18" s="25">
        <f t="shared" si="3"/>
        <v>3.1409448141814636E-2</v>
      </c>
      <c r="U18" s="25">
        <f t="shared" si="18"/>
        <v>0.16134955592153877</v>
      </c>
      <c r="V18" s="26">
        <f t="shared" si="4"/>
        <v>12753.279534848805</v>
      </c>
      <c r="W18" s="23">
        <f t="shared" si="19"/>
        <v>7.8411203743120605E-2</v>
      </c>
      <c r="X18" s="24">
        <v>25.4</v>
      </c>
      <c r="Y18" s="25">
        <f t="shared" si="5"/>
        <v>0.16165780855417103</v>
      </c>
      <c r="Z18" s="24">
        <v>1320</v>
      </c>
      <c r="AA18" s="25">
        <f t="shared" si="20"/>
        <v>0.37903830699077917</v>
      </c>
      <c r="AB18" s="25">
        <f t="shared" si="6"/>
        <v>9.7320099255583131E-2</v>
      </c>
      <c r="AC18" s="44">
        <f t="shared" si="21"/>
        <v>22.12848</v>
      </c>
      <c r="AD18" s="26">
        <f t="shared" si="7"/>
        <v>78890.587772475104</v>
      </c>
      <c r="AE18" s="26">
        <f t="shared" si="22"/>
        <v>12555.827007414449</v>
      </c>
      <c r="AF18" s="26">
        <f t="shared" si="8"/>
        <v>77852.929939679248</v>
      </c>
      <c r="AG18" s="26">
        <f t="shared" si="9"/>
        <v>2680.2979228472586</v>
      </c>
      <c r="AH18" s="26">
        <f t="shared" si="24"/>
        <v>2105.7683721709955</v>
      </c>
      <c r="AI18" s="43">
        <f t="shared" si="23"/>
        <v>3.1699295949773809</v>
      </c>
    </row>
    <row r="19" spans="1:35">
      <c r="B19">
        <f t="shared" si="11"/>
        <v>0.96791544769171689</v>
      </c>
      <c r="C19" s="9">
        <f t="shared" si="12"/>
        <v>573.97386048118813</v>
      </c>
      <c r="D19" s="2">
        <f t="shared" si="13"/>
        <v>0.68999544011392411</v>
      </c>
      <c r="E19" s="2">
        <f t="shared" si="14"/>
        <v>0.94255702376009853</v>
      </c>
      <c r="F19" s="2">
        <f t="shared" si="15"/>
        <v>0.2988374977879677</v>
      </c>
      <c r="G19" s="4">
        <v>2.5</v>
      </c>
      <c r="H19" s="4">
        <v>8</v>
      </c>
      <c r="I19">
        <v>290</v>
      </c>
      <c r="J19" s="4">
        <f t="shared" si="0"/>
        <v>1440.0684931506848</v>
      </c>
      <c r="K19">
        <v>1</v>
      </c>
      <c r="L19">
        <v>1.1000000000000001</v>
      </c>
      <c r="M19" s="4">
        <f t="shared" si="16"/>
        <v>1441.1684931506848</v>
      </c>
      <c r="N19" s="4">
        <f t="shared" si="17"/>
        <v>189.80455615438333</v>
      </c>
      <c r="O19" s="4">
        <v>2.6</v>
      </c>
      <c r="P19" s="2">
        <f t="shared" si="1"/>
        <v>0.49349184600139673</v>
      </c>
      <c r="Q19" s="4">
        <v>5</v>
      </c>
      <c r="R19" s="6">
        <f t="shared" si="2"/>
        <v>0.50599184600139668</v>
      </c>
      <c r="S19" s="25">
        <v>0.13</v>
      </c>
      <c r="T19" s="25">
        <f t="shared" si="3"/>
        <v>3.3587138214136579E-2</v>
      </c>
      <c r="U19" s="25">
        <f t="shared" si="18"/>
        <v>0.63599184600139669</v>
      </c>
      <c r="V19" s="9">
        <f t="shared" si="4"/>
        <v>220.65145367249542</v>
      </c>
      <c r="W19" s="4">
        <f t="shared" si="19"/>
        <v>4.5320344976483229</v>
      </c>
      <c r="X19">
        <v>25.4</v>
      </c>
      <c r="Y19" s="25">
        <f t="shared" si="5"/>
        <v>4.2216383926973036E-2</v>
      </c>
      <c r="Z19">
        <v>1320</v>
      </c>
      <c r="AA19" s="25">
        <f t="shared" si="20"/>
        <v>2.9572076581146359E-2</v>
      </c>
      <c r="AB19" s="25">
        <f t="shared" si="6"/>
        <v>22.171822971548995</v>
      </c>
      <c r="AC19" s="39">
        <f t="shared" si="21"/>
        <v>22.12848</v>
      </c>
      <c r="AD19" s="9">
        <f t="shared" si="7"/>
        <v>5226.6782028082716</v>
      </c>
      <c r="AE19" s="9">
        <f t="shared" si="22"/>
        <v>831.85167192760025</v>
      </c>
      <c r="AF19" s="9">
        <f t="shared" si="8"/>
        <v>5222.0185725161227</v>
      </c>
      <c r="AG19" s="9">
        <f t="shared" si="9"/>
        <v>175.39643427120228</v>
      </c>
      <c r="AH19" s="26">
        <f t="shared" si="24"/>
        <v>164.289314339702</v>
      </c>
      <c r="AI19" s="2">
        <f t="shared" si="23"/>
        <v>0.2988374977879677</v>
      </c>
    </row>
    <row r="20" spans="1:35">
      <c r="B20" s="23" t="s">
        <v>89</v>
      </c>
      <c r="C20" s="9" t="s">
        <v>89</v>
      </c>
      <c r="D20" s="2" t="s">
        <v>89</v>
      </c>
      <c r="E20" s="2"/>
      <c r="P20" s="2"/>
      <c r="S20" s="25"/>
      <c r="T20" s="25"/>
      <c r="U20" s="25"/>
      <c r="Y20" s="25"/>
      <c r="AA20" s="25"/>
      <c r="AB20" s="25"/>
      <c r="AC20" s="39"/>
    </row>
    <row r="21" spans="1:35">
      <c r="B21" s="23">
        <f t="shared" si="11"/>
        <v>2.9502222375600953</v>
      </c>
      <c r="C21" s="9">
        <f t="shared" ref="C21:C29" si="49">D21*AE21</f>
        <v>1749.4817868731366</v>
      </c>
      <c r="D21" s="2">
        <f t="shared" ref="D21:D29" si="50">G21*G21*I21/4*AH21/SQRT((($D$3*$D$3)+(G21*G21/4))*(($D$3*$D$3)+(G21*G21/4))*(($D$3*$D$3)+(G21*G21/4)))*0.000024706908245325</f>
        <v>0.39469086009627258</v>
      </c>
      <c r="E21" s="2">
        <f t="shared" ref="E21:E29" si="51">AH21*I21/G21/20219</f>
        <v>0.53916101581226794</v>
      </c>
      <c r="F21" s="2">
        <f t="shared" ref="F21:F29" si="52">I21/H21*AH21*0.0000501785102431005</f>
        <v>6.8376352754723504</v>
      </c>
      <c r="G21" s="4">
        <v>2.5</v>
      </c>
      <c r="H21" s="4">
        <v>0.2</v>
      </c>
      <c r="I21">
        <v>10</v>
      </c>
      <c r="J21" s="4">
        <f t="shared" ref="J21:J29" si="53">G21*G21*I21*I21/(18*G21+40*H21)</f>
        <v>11.79245283018868</v>
      </c>
      <c r="K21">
        <v>1</v>
      </c>
      <c r="L21">
        <v>1.1000000000000001</v>
      </c>
      <c r="M21" s="4">
        <f t="shared" ref="M21:M28" si="54">J21*K21+L21</f>
        <v>12.892452830188679</v>
      </c>
      <c r="N21" s="4">
        <f t="shared" ref="N21:N29" si="55">G21*PI()*I21/12*K21</f>
        <v>6.5449846949787363</v>
      </c>
      <c r="O21" s="4">
        <v>2.5</v>
      </c>
      <c r="P21" s="2">
        <f t="shared" ref="P21:P29" si="56">N21*O21/1000</f>
        <v>1.6362461737446838E-2</v>
      </c>
      <c r="Q21" s="4">
        <v>5</v>
      </c>
      <c r="R21" s="6">
        <f t="shared" ref="R21:R29" si="57">P21+Q21*2.5/1000</f>
        <v>2.8862461737446839E-2</v>
      </c>
      <c r="S21" s="25">
        <v>0.13</v>
      </c>
      <c r="T21" s="25">
        <f t="shared" ref="T21:T29" si="58">R21/2*SQRT(X21/M21)</f>
        <v>4.0191628083716055E-2</v>
      </c>
      <c r="U21" s="25">
        <f t="shared" ref="U21:U29" si="59">R21+S21</f>
        <v>0.15886246173744684</v>
      </c>
      <c r="V21" s="9">
        <f t="shared" ref="V21:V29" si="60">U21/(2*M21)*1000000</f>
        <v>6161.0642997839032</v>
      </c>
      <c r="W21" s="4">
        <f t="shared" ref="W21:W29" si="61">1/V21*1000</f>
        <v>0.16230961914081543</v>
      </c>
      <c r="X21">
        <v>100</v>
      </c>
      <c r="Y21" s="25">
        <f t="shared" ref="Y21:Y29" si="62">(U21)/2*SQRT(X21/M21)</f>
        <v>0.22121955627683215</v>
      </c>
      <c r="Z21">
        <v>1320</v>
      </c>
      <c r="AA21" s="25">
        <f t="shared" ref="AA21:AA29" si="63">0.18*AH21/1000</f>
        <v>0.49055834604187099</v>
      </c>
      <c r="AB21" s="25">
        <f t="shared" ref="AB21:AB29" si="64">1/(S21/(2*M21*0.000001))*1000</f>
        <v>0.19834542815674888</v>
      </c>
      <c r="AC21" s="39">
        <f t="shared" ref="AC21:AC29" si="65">X21*Z21*Z21/2/1000000</f>
        <v>87.12</v>
      </c>
      <c r="AD21" s="9">
        <f t="shared" ref="AD21:AD29" si="66">1/(SQRT(M21*X21))*1000000</f>
        <v>27850.45049124863</v>
      </c>
      <c r="AE21" s="9">
        <f t="shared" ref="AE21:AE29" si="67">AD21/2/PI()</f>
        <v>4432.5368630183248</v>
      </c>
      <c r="AF21" s="9">
        <f t="shared" ref="AF21:AF29" si="68">SQRT(AD21*AD21-V21*V21)</f>
        <v>27160.428554413851</v>
      </c>
      <c r="AG21" s="9">
        <f t="shared" ref="AG21:AG29" si="69">Z21/(M21*AF21)*1000000</f>
        <v>3769.6563591963686</v>
      </c>
      <c r="AH21" s="26">
        <f t="shared" ref="AH21:AH36" si="70">Z21*POWER(2.7181,(-(ATAN(AD21/V21)/(AD21/V21))))*SQRT(X21/M21)</f>
        <v>2725.3241446770612</v>
      </c>
      <c r="AI21" s="2">
        <f t="shared" ref="AI21:AI29" si="71">I21/H21*AH21*0.0000501785102431005</f>
        <v>6.8376352754723504</v>
      </c>
    </row>
    <row r="22" spans="1:35">
      <c r="A22" t="s">
        <v>89</v>
      </c>
      <c r="B22" s="23">
        <f t="shared" si="11"/>
        <v>7.9987386964270915</v>
      </c>
      <c r="C22" s="9">
        <f t="shared" si="49"/>
        <v>4743.2520469812653</v>
      </c>
      <c r="D22" s="2">
        <f t="shared" si="50"/>
        <v>0.40861665090245342</v>
      </c>
      <c r="E22" s="2">
        <f t="shared" si="51"/>
        <v>1.0894378874729329</v>
      </c>
      <c r="F22" s="2">
        <f t="shared" si="52"/>
        <v>6.9081208686782682</v>
      </c>
      <c r="G22" s="4">
        <v>1.25</v>
      </c>
      <c r="H22" s="4">
        <v>0.2</v>
      </c>
      <c r="I22">
        <v>9</v>
      </c>
      <c r="J22" s="4">
        <f t="shared" si="53"/>
        <v>4.1495901639344259</v>
      </c>
      <c r="K22">
        <v>2</v>
      </c>
      <c r="L22">
        <v>1.1000000000000001</v>
      </c>
      <c r="M22" s="4">
        <f t="shared" si="54"/>
        <v>9.3991803278688515</v>
      </c>
      <c r="N22" s="4">
        <f t="shared" si="55"/>
        <v>5.8904862254808625</v>
      </c>
      <c r="O22" s="4">
        <v>4</v>
      </c>
      <c r="P22" s="2">
        <f t="shared" si="56"/>
        <v>2.356194490192345E-2</v>
      </c>
      <c r="Q22" s="4">
        <v>5</v>
      </c>
      <c r="R22" s="6">
        <f t="shared" si="57"/>
        <v>3.6061944901923451E-2</v>
      </c>
      <c r="S22" s="25">
        <v>0.13</v>
      </c>
      <c r="T22" s="25">
        <f t="shared" si="58"/>
        <v>2.6302023214786481E-2</v>
      </c>
      <c r="U22" s="25">
        <f t="shared" si="59"/>
        <v>0.16606194490192344</v>
      </c>
      <c r="V22" s="9">
        <f t="shared" si="60"/>
        <v>8833.8524801755739</v>
      </c>
      <c r="W22" s="4">
        <f t="shared" si="61"/>
        <v>0.11320089420149847</v>
      </c>
      <c r="X22">
        <v>20</v>
      </c>
      <c r="Y22" s="25">
        <f t="shared" si="62"/>
        <v>0.12111840173295864</v>
      </c>
      <c r="Z22">
        <v>2500</v>
      </c>
      <c r="AA22" s="25">
        <f t="shared" si="63"/>
        <v>0.55068361617038064</v>
      </c>
      <c r="AB22" s="25">
        <f t="shared" si="64"/>
        <v>0.14460277427490539</v>
      </c>
      <c r="AC22" s="39">
        <f t="shared" si="65"/>
        <v>62.5</v>
      </c>
      <c r="AD22" s="9">
        <f t="shared" si="66"/>
        <v>72935.675783209357</v>
      </c>
      <c r="AE22" s="9">
        <f t="shared" si="67"/>
        <v>11608.073328645614</v>
      </c>
      <c r="AF22" s="9">
        <f t="shared" si="68"/>
        <v>72398.728250653192</v>
      </c>
      <c r="AG22" s="9">
        <f t="shared" si="69"/>
        <v>3673.8302802338508</v>
      </c>
      <c r="AH22" s="26">
        <f t="shared" si="70"/>
        <v>3059.3534231687818</v>
      </c>
      <c r="AI22" s="2">
        <f t="shared" si="71"/>
        <v>6.9081208686782682</v>
      </c>
    </row>
    <row r="23" spans="1:35">
      <c r="A23" t="s">
        <v>98</v>
      </c>
      <c r="B23" s="23">
        <f>D23*AE23/593</f>
        <v>4.6387897086843255</v>
      </c>
      <c r="C23" s="9">
        <f>D23*AE23</f>
        <v>2750.8022972498052</v>
      </c>
      <c r="D23" s="2">
        <f>G23*G23*I23/4*AH23/SQRT((($D$3*$D$3)+(G23*G23/4))*(($D$3*$D$3)+(G23*G23/4))*(($D$3*$D$3)+(G23*G23/4)))*0.000024706908245325</f>
        <v>0.96141887277642757</v>
      </c>
      <c r="E23" s="2">
        <f>AH23*I23/G23/20219</f>
        <v>1.3133305796358865</v>
      </c>
      <c r="F23" s="2">
        <f>I23/H23*AH23*0.0000501785102431005</f>
        <v>16.655646896402622</v>
      </c>
      <c r="G23" s="4">
        <v>2.5</v>
      </c>
      <c r="H23" s="4">
        <v>0.2</v>
      </c>
      <c r="I23">
        <v>10</v>
      </c>
      <c r="J23" s="4">
        <f t="shared" si="53"/>
        <v>11.79245283018868</v>
      </c>
      <c r="K23">
        <v>1</v>
      </c>
      <c r="L23">
        <v>1.1000000000000001</v>
      </c>
      <c r="M23" s="4">
        <f>J23*K23+L23</f>
        <v>12.892452830188679</v>
      </c>
      <c r="N23" s="4">
        <f>G23*PI()*I23/12*K23</f>
        <v>6.5449846949787363</v>
      </c>
      <c r="O23" s="4">
        <v>4</v>
      </c>
      <c r="P23" s="2">
        <f t="shared" si="56"/>
        <v>2.6179938779914945E-2</v>
      </c>
      <c r="Q23" s="4">
        <v>5</v>
      </c>
      <c r="R23" s="6">
        <f t="shared" si="57"/>
        <v>3.8679938779914949E-2</v>
      </c>
      <c r="S23" s="25">
        <v>0.13</v>
      </c>
      <c r="T23" s="25">
        <f t="shared" si="58"/>
        <v>8.3443714343577544E-2</v>
      </c>
      <c r="U23" s="25">
        <f>R23+S23</f>
        <v>0.16867993877991494</v>
      </c>
      <c r="V23" s="9">
        <f t="shared" si="60"/>
        <v>6541.809421436772</v>
      </c>
      <c r="W23" s="4">
        <f t="shared" si="61"/>
        <v>0.1528629062049886</v>
      </c>
      <c r="X23">
        <v>240</v>
      </c>
      <c r="Y23" s="25">
        <f t="shared" si="62"/>
        <v>0.36389097477972582</v>
      </c>
      <c r="Z23">
        <v>2400</v>
      </c>
      <c r="AA23" s="25">
        <f>0.18*AH23/1000</f>
        <v>1.1949403945346093</v>
      </c>
      <c r="AB23" s="25">
        <f t="shared" si="64"/>
        <v>0.19834542815674888</v>
      </c>
      <c r="AC23" s="39">
        <f>X23*Z23*Z23/2/1000000</f>
        <v>691.2</v>
      </c>
      <c r="AD23" s="9">
        <f t="shared" si="66"/>
        <v>17977.388489496687</v>
      </c>
      <c r="AE23" s="9">
        <f t="shared" si="67"/>
        <v>2861.1902419867397</v>
      </c>
      <c r="AF23" s="9">
        <f t="shared" si="68"/>
        <v>16744.886574590138</v>
      </c>
      <c r="AG23" s="9">
        <f t="shared" si="69"/>
        <v>11117.150384177763</v>
      </c>
      <c r="AH23" s="26">
        <f t="shared" si="70"/>
        <v>6638.5577474144966</v>
      </c>
      <c r="AI23" s="2">
        <f>I23/H23*AH23*0.0000501785102431005</f>
        <v>16.655646896402622</v>
      </c>
    </row>
    <row r="24" spans="1:35" s="12" customFormat="1">
      <c r="A24" s="12" t="s">
        <v>99</v>
      </c>
      <c r="B24" s="11">
        <f t="shared" si="11"/>
        <v>10.560573499595604</v>
      </c>
      <c r="C24" s="14">
        <f t="shared" si="49"/>
        <v>6262.4200852601934</v>
      </c>
      <c r="D24" s="27">
        <f t="shared" si="50"/>
        <v>0.46721059812929533</v>
      </c>
      <c r="E24" s="27">
        <f t="shared" si="51"/>
        <v>1.2456588000190298</v>
      </c>
      <c r="F24" s="27">
        <f t="shared" si="52"/>
        <v>7.8987169903047683</v>
      </c>
      <c r="G24" s="11">
        <v>1.25</v>
      </c>
      <c r="H24" s="11">
        <v>0.2</v>
      </c>
      <c r="I24" s="12">
        <v>9</v>
      </c>
      <c r="J24" s="11">
        <f t="shared" si="53"/>
        <v>4.1495901639344259</v>
      </c>
      <c r="K24" s="12">
        <v>2</v>
      </c>
      <c r="L24" s="12">
        <v>1.1000000000000001</v>
      </c>
      <c r="M24" s="11">
        <f t="shared" si="54"/>
        <v>9.3991803278688515</v>
      </c>
      <c r="N24" s="11">
        <f t="shared" si="55"/>
        <v>5.8904862254808625</v>
      </c>
      <c r="O24" s="11">
        <v>4</v>
      </c>
      <c r="P24" s="27">
        <f t="shared" si="56"/>
        <v>2.356194490192345E-2</v>
      </c>
      <c r="Q24" s="11">
        <v>8</v>
      </c>
      <c r="R24" s="13">
        <f t="shared" si="57"/>
        <v>4.3561944901923451E-2</v>
      </c>
      <c r="S24" s="13">
        <v>0.04</v>
      </c>
      <c r="T24" s="13">
        <f t="shared" si="58"/>
        <v>2.7515531380216503E-2</v>
      </c>
      <c r="U24" s="13">
        <f t="shared" si="59"/>
        <v>8.3561944901923452E-2</v>
      </c>
      <c r="V24" s="14">
        <f t="shared" si="60"/>
        <v>4445.1719185639931</v>
      </c>
      <c r="W24" s="11">
        <f t="shared" si="61"/>
        <v>0.22496317764984186</v>
      </c>
      <c r="X24" s="12">
        <v>15</v>
      </c>
      <c r="Y24" s="13">
        <f t="shared" si="62"/>
        <v>5.2781190608394424E-2</v>
      </c>
      <c r="Z24" s="12">
        <v>3000</v>
      </c>
      <c r="AA24" s="13">
        <f t="shared" si="63"/>
        <v>0.62964938193961906</v>
      </c>
      <c r="AB24" s="13">
        <f t="shared" si="64"/>
        <v>0.46995901639344245</v>
      </c>
      <c r="AC24" s="40">
        <f t="shared" si="65"/>
        <v>67.5</v>
      </c>
      <c r="AD24" s="14">
        <f t="shared" si="66"/>
        <v>84218.864093926386</v>
      </c>
      <c r="AE24" s="14">
        <f t="shared" si="67"/>
        <v>13403.848522132921</v>
      </c>
      <c r="AF24" s="14">
        <f t="shared" si="68"/>
        <v>84101.471544115411</v>
      </c>
      <c r="AG24" s="14">
        <f t="shared" si="69"/>
        <v>3795.138922745029</v>
      </c>
      <c r="AH24" s="14">
        <f t="shared" si="70"/>
        <v>3498.0521218867725</v>
      </c>
      <c r="AI24" s="27">
        <f t="shared" si="71"/>
        <v>7.8987169903047683</v>
      </c>
    </row>
    <row r="25" spans="1:35" s="12" customFormat="1">
      <c r="A25" s="12" t="s">
        <v>99</v>
      </c>
      <c r="B25" s="11">
        <f>D25*AE25/593</f>
        <v>12.829424143230097</v>
      </c>
      <c r="C25" s="14">
        <f>D25*AE25</f>
        <v>7607.8485169354481</v>
      </c>
      <c r="D25" s="27">
        <f>G25*G25*I25/4*AH25/SQRT((($D$3*$D$3)+(G25*G25/4))*(($D$3*$D$3)+(G25*G25/4))*(($D$3*$D$3)+(G25*G25/4)))*0.000024706908245325</f>
        <v>0.59658742728416336</v>
      </c>
      <c r="E25" s="27">
        <f>AH25*I25/G25/20219</f>
        <v>1.0644676379224469</v>
      </c>
      <c r="F25" s="27">
        <f>I25/H25*AH25*0.0000501785102431005</f>
        <v>4.7248492380188045</v>
      </c>
      <c r="G25" s="11">
        <v>1.75</v>
      </c>
      <c r="H25" s="11">
        <v>0.4</v>
      </c>
      <c r="I25" s="12">
        <v>12</v>
      </c>
      <c r="J25" s="11">
        <f t="shared" si="53"/>
        <v>9.284210526315789</v>
      </c>
      <c r="K25" s="12">
        <v>1</v>
      </c>
      <c r="L25" s="12">
        <v>1.1000000000000001</v>
      </c>
      <c r="M25" s="11">
        <f>J25*K25+L25</f>
        <v>10.384210526315789</v>
      </c>
      <c r="N25" s="11">
        <f>G25*PI()*I25/12*K25</f>
        <v>5.497787143782138</v>
      </c>
      <c r="O25" s="11">
        <v>2.5</v>
      </c>
      <c r="P25" s="27">
        <f t="shared" si="56"/>
        <v>1.3744467859455345E-2</v>
      </c>
      <c r="Q25" s="11">
        <v>5</v>
      </c>
      <c r="R25" s="13">
        <f t="shared" si="57"/>
        <v>2.6244467859455348E-2</v>
      </c>
      <c r="S25" s="13">
        <v>0.13</v>
      </c>
      <c r="T25" s="13">
        <f t="shared" si="58"/>
        <v>1.5771269862579689E-2</v>
      </c>
      <c r="U25" s="13">
        <f>R25+S25</f>
        <v>0.15624446785945534</v>
      </c>
      <c r="V25" s="14">
        <f t="shared" si="60"/>
        <v>7523.1750869986108</v>
      </c>
      <c r="W25" s="11">
        <f t="shared" si="61"/>
        <v>0.13292260095450634</v>
      </c>
      <c r="X25" s="12">
        <v>15</v>
      </c>
      <c r="Y25" s="13">
        <f t="shared" si="62"/>
        <v>9.3893070354590449E-2</v>
      </c>
      <c r="Z25" s="12">
        <v>3000</v>
      </c>
      <c r="AA25" s="13">
        <f>0.18*AH25/1000</f>
        <v>0.56496486824279135</v>
      </c>
      <c r="AB25" s="13">
        <f t="shared" si="64"/>
        <v>0.15975708502024291</v>
      </c>
      <c r="AC25" s="40">
        <f>X25*Z25*Z25/2/1000000</f>
        <v>67.5</v>
      </c>
      <c r="AD25" s="14">
        <f t="shared" si="66"/>
        <v>80124.923581549505</v>
      </c>
      <c r="AE25" s="14">
        <f t="shared" si="67"/>
        <v>12752.277652863975</v>
      </c>
      <c r="AF25" s="14">
        <f t="shared" si="68"/>
        <v>79770.954711345359</v>
      </c>
      <c r="AG25" s="14">
        <f t="shared" si="69"/>
        <v>3621.6208405441466</v>
      </c>
      <c r="AH25" s="14">
        <f t="shared" si="70"/>
        <v>3138.6937124599517</v>
      </c>
      <c r="AI25" s="27">
        <f>I25/H25*AH25*0.0000501785102431005</f>
        <v>4.7248492380188045</v>
      </c>
    </row>
    <row r="26" spans="1:35" s="12" customFormat="1">
      <c r="A26" s="12" t="s">
        <v>105</v>
      </c>
      <c r="B26" s="11">
        <f t="shared" si="11"/>
        <v>24.80854307713237</v>
      </c>
      <c r="C26" s="14">
        <f t="shared" si="49"/>
        <v>14711.466044739496</v>
      </c>
      <c r="D26" s="27">
        <f t="shared" si="50"/>
        <v>1.177511858757772</v>
      </c>
      <c r="E26" s="27">
        <f t="shared" si="51"/>
        <v>1.6554552921925894</v>
      </c>
      <c r="F26" s="27">
        <f t="shared" si="52"/>
        <v>13.32448997694614</v>
      </c>
      <c r="G26" s="11">
        <v>2.38</v>
      </c>
      <c r="H26" s="11">
        <v>0.3</v>
      </c>
      <c r="I26" s="12">
        <v>9.6999999999999993</v>
      </c>
      <c r="J26" s="11">
        <f t="shared" si="53"/>
        <v>9.7185156090444913</v>
      </c>
      <c r="K26" s="12">
        <v>1</v>
      </c>
      <c r="L26" s="12">
        <v>1.1000000000000001</v>
      </c>
      <c r="M26" s="11">
        <f t="shared" si="54"/>
        <v>10.818515609044491</v>
      </c>
      <c r="N26" s="11">
        <f t="shared" si="55"/>
        <v>6.0439006667311626</v>
      </c>
      <c r="O26" s="11">
        <v>2.5</v>
      </c>
      <c r="P26" s="27">
        <f t="shared" si="56"/>
        <v>1.5109751666827907E-2</v>
      </c>
      <c r="Q26" s="11">
        <v>5</v>
      </c>
      <c r="R26" s="13">
        <f t="shared" si="57"/>
        <v>2.7609751666827907E-2</v>
      </c>
      <c r="S26" s="13">
        <v>0.13</v>
      </c>
      <c r="T26" s="13">
        <f t="shared" si="58"/>
        <v>1.6255274071195355E-2</v>
      </c>
      <c r="U26" s="13">
        <f t="shared" si="59"/>
        <v>0.15760975166682792</v>
      </c>
      <c r="V26" s="14">
        <f t="shared" si="60"/>
        <v>7284.2595676925894</v>
      </c>
      <c r="W26" s="11">
        <f t="shared" si="61"/>
        <v>0.13728231273295588</v>
      </c>
      <c r="X26" s="12">
        <v>15</v>
      </c>
      <c r="Y26" s="13">
        <f t="shared" si="62"/>
        <v>9.2792928402737576E-2</v>
      </c>
      <c r="Z26" s="12">
        <v>8000</v>
      </c>
      <c r="AA26" s="13">
        <f t="shared" si="63"/>
        <v>1.4782737213234534</v>
      </c>
      <c r="AB26" s="13">
        <f t="shared" si="64"/>
        <v>0.16643870167760755</v>
      </c>
      <c r="AC26" s="40">
        <f t="shared" si="65"/>
        <v>480</v>
      </c>
      <c r="AD26" s="14">
        <f t="shared" si="66"/>
        <v>78500.158288761246</v>
      </c>
      <c r="AE26" s="14">
        <f t="shared" si="67"/>
        <v>12493.688225152573</v>
      </c>
      <c r="AF26" s="14">
        <f t="shared" si="68"/>
        <v>78161.463739563187</v>
      </c>
      <c r="AG26" s="14">
        <f t="shared" si="69"/>
        <v>9460.8384590546975</v>
      </c>
      <c r="AH26" s="14">
        <f t="shared" si="70"/>
        <v>8212.6317851302974</v>
      </c>
      <c r="AI26" s="27">
        <f t="shared" si="71"/>
        <v>13.32448997694614</v>
      </c>
    </row>
    <row r="27" spans="1:35" s="12" customFormat="1">
      <c r="A27" s="12" t="s">
        <v>106</v>
      </c>
      <c r="B27" s="11">
        <f t="shared" si="11"/>
        <v>10.422992737238724</v>
      </c>
      <c r="C27" s="14">
        <f t="shared" si="49"/>
        <v>6180.8346931825636</v>
      </c>
      <c r="D27" s="27">
        <f t="shared" si="50"/>
        <v>1.4100410938184536</v>
      </c>
      <c r="E27" s="27">
        <f t="shared" si="51"/>
        <v>2.0544552524512318</v>
      </c>
      <c r="F27" s="27">
        <f t="shared" si="52"/>
        <v>15.632750099570938</v>
      </c>
      <c r="G27" s="11">
        <v>2.25</v>
      </c>
      <c r="H27" s="11">
        <v>0.3</v>
      </c>
      <c r="I27" s="12">
        <v>30</v>
      </c>
      <c r="J27" s="11">
        <f t="shared" si="53"/>
        <v>86.785714285714292</v>
      </c>
      <c r="K27" s="12">
        <v>1</v>
      </c>
      <c r="L27" s="12">
        <v>1.1000000000000001</v>
      </c>
      <c r="M27" s="11">
        <f t="shared" si="54"/>
        <v>87.885714285714286</v>
      </c>
      <c r="N27" s="11">
        <f t="shared" si="55"/>
        <v>17.671458676442587</v>
      </c>
      <c r="O27" s="11">
        <v>2.5</v>
      </c>
      <c r="P27" s="27">
        <f t="shared" si="56"/>
        <v>4.4178646691106466E-2</v>
      </c>
      <c r="Q27" s="11">
        <v>5</v>
      </c>
      <c r="R27" s="13">
        <f t="shared" si="57"/>
        <v>5.6678646691106463E-2</v>
      </c>
      <c r="S27" s="13">
        <v>0.13</v>
      </c>
      <c r="T27" s="13">
        <f t="shared" si="58"/>
        <v>1.1707817998531473E-2</v>
      </c>
      <c r="U27" s="13">
        <f t="shared" si="59"/>
        <v>0.18667864669110645</v>
      </c>
      <c r="V27" s="14">
        <f t="shared" si="60"/>
        <v>1062.0534190813923</v>
      </c>
      <c r="W27" s="11">
        <f t="shared" si="61"/>
        <v>0.94157222417770237</v>
      </c>
      <c r="X27" s="12">
        <v>15</v>
      </c>
      <c r="Y27" s="13">
        <f t="shared" si="62"/>
        <v>3.8561252733907987E-2</v>
      </c>
      <c r="Z27" s="12">
        <v>8000</v>
      </c>
      <c r="AA27" s="13">
        <f t="shared" si="63"/>
        <v>0.56077691511570471</v>
      </c>
      <c r="AB27" s="13">
        <f t="shared" si="64"/>
        <v>1.3520879120879119</v>
      </c>
      <c r="AC27" s="40">
        <f t="shared" si="65"/>
        <v>480</v>
      </c>
      <c r="AD27" s="14">
        <f t="shared" si="66"/>
        <v>27541.984343975917</v>
      </c>
      <c r="AE27" s="14">
        <f t="shared" si="67"/>
        <v>4383.4429509033598</v>
      </c>
      <c r="AF27" s="14">
        <f t="shared" si="68"/>
        <v>27521.49967096328</v>
      </c>
      <c r="AG27" s="14">
        <f t="shared" si="69"/>
        <v>3307.4981116852668</v>
      </c>
      <c r="AH27" s="14">
        <f t="shared" si="70"/>
        <v>3115.4273061983595</v>
      </c>
      <c r="AI27" s="27">
        <f t="shared" si="71"/>
        <v>15.632750099570938</v>
      </c>
    </row>
    <row r="28" spans="1:35">
      <c r="A28" s="24" t="s">
        <v>98</v>
      </c>
      <c r="B28" s="23">
        <f t="shared" si="11"/>
        <v>1.2567966456911923</v>
      </c>
      <c r="C28" s="9">
        <f t="shared" si="49"/>
        <v>745.28041089487704</v>
      </c>
      <c r="D28" s="2">
        <f t="shared" si="50"/>
        <v>1.6382366454502701</v>
      </c>
      <c r="E28" s="2">
        <f t="shared" si="51"/>
        <v>2.2378864655908242</v>
      </c>
      <c r="F28" s="2">
        <f t="shared" si="52"/>
        <v>11.35234261444003</v>
      </c>
      <c r="G28" s="4">
        <v>2.5</v>
      </c>
      <c r="H28" s="4">
        <v>0.5</v>
      </c>
      <c r="I28">
        <v>25</v>
      </c>
      <c r="J28" s="4">
        <f t="shared" si="53"/>
        <v>60.096153846153847</v>
      </c>
      <c r="K28">
        <v>1</v>
      </c>
      <c r="L28">
        <v>1.1000000000000001</v>
      </c>
      <c r="M28" s="4">
        <f t="shared" si="54"/>
        <v>61.196153846153848</v>
      </c>
      <c r="N28" s="4">
        <f t="shared" si="55"/>
        <v>16.362461737446839</v>
      </c>
      <c r="O28" s="4">
        <v>2.5</v>
      </c>
      <c r="P28" s="2">
        <f t="shared" si="56"/>
        <v>4.0906154343617093E-2</v>
      </c>
      <c r="Q28" s="4">
        <v>5</v>
      </c>
      <c r="R28" s="6">
        <f t="shared" si="57"/>
        <v>5.340615434361709E-2</v>
      </c>
      <c r="S28" s="25">
        <v>0.13</v>
      </c>
      <c r="T28" s="25">
        <f t="shared" si="58"/>
        <v>0.15265612875948298</v>
      </c>
      <c r="U28" s="25">
        <f t="shared" si="59"/>
        <v>0.18340615434361709</v>
      </c>
      <c r="V28" s="9">
        <f t="shared" si="60"/>
        <v>1498.5104685230483</v>
      </c>
      <c r="W28" s="4">
        <f t="shared" si="61"/>
        <v>0.66732933870366162</v>
      </c>
      <c r="X28">
        <v>2000</v>
      </c>
      <c r="Y28" s="25">
        <f t="shared" si="62"/>
        <v>0.52424807322055478</v>
      </c>
      <c r="Z28">
        <v>1400</v>
      </c>
      <c r="AA28" s="25">
        <f t="shared" si="63"/>
        <v>0.81446087606005557</v>
      </c>
      <c r="AB28" s="25">
        <f t="shared" si="64"/>
        <v>0.94147928994082841</v>
      </c>
      <c r="AC28" s="39">
        <f t="shared" si="65"/>
        <v>1960</v>
      </c>
      <c r="AD28" s="9">
        <f t="shared" si="66"/>
        <v>2858.399572777475</v>
      </c>
      <c r="AE28" s="9">
        <f t="shared" si="67"/>
        <v>454.92842133929702</v>
      </c>
      <c r="AF28" s="9">
        <f t="shared" si="68"/>
        <v>2434.1147247780427</v>
      </c>
      <c r="AG28" s="9">
        <f t="shared" si="69"/>
        <v>9398.5934584568731</v>
      </c>
      <c r="AH28" s="26">
        <f t="shared" si="70"/>
        <v>4524.7826447780872</v>
      </c>
      <c r="AI28" s="2">
        <f t="shared" si="71"/>
        <v>11.35234261444003</v>
      </c>
    </row>
    <row r="29" spans="1:35">
      <c r="B29" s="23">
        <f t="shared" si="11"/>
        <v>0.3717872988629739</v>
      </c>
      <c r="C29" s="9">
        <f t="shared" si="49"/>
        <v>220.46986822574354</v>
      </c>
      <c r="D29" s="2">
        <f t="shared" si="50"/>
        <v>0.58921805560480467</v>
      </c>
      <c r="E29" s="2">
        <f t="shared" si="51"/>
        <v>0.80489172036394974</v>
      </c>
      <c r="F29" s="2">
        <f t="shared" si="52"/>
        <v>4.0830518963281053</v>
      </c>
      <c r="G29" s="4">
        <v>2.5</v>
      </c>
      <c r="H29" s="4">
        <v>0.5</v>
      </c>
      <c r="I29">
        <v>20</v>
      </c>
      <c r="J29" s="4">
        <f t="shared" si="53"/>
        <v>38.46153846153846</v>
      </c>
      <c r="K29">
        <v>1</v>
      </c>
      <c r="L29">
        <v>1.1000000000000001</v>
      </c>
      <c r="M29" s="4">
        <f>J29*K29+P29</f>
        <v>38.494263385013355</v>
      </c>
      <c r="N29" s="4">
        <f t="shared" si="55"/>
        <v>13.089969389957473</v>
      </c>
      <c r="O29" s="4">
        <v>2.5</v>
      </c>
      <c r="P29" s="2">
        <f t="shared" si="56"/>
        <v>3.2724923474893676E-2</v>
      </c>
      <c r="Q29" s="4">
        <v>5</v>
      </c>
      <c r="R29" s="6">
        <f t="shared" si="57"/>
        <v>4.522492347489368E-2</v>
      </c>
      <c r="S29" s="25">
        <v>0.13</v>
      </c>
      <c r="T29" s="25">
        <f t="shared" si="58"/>
        <v>0.24986116881419021</v>
      </c>
      <c r="U29" s="25">
        <f t="shared" si="59"/>
        <v>0.17522492347489368</v>
      </c>
      <c r="V29" s="9">
        <f t="shared" si="60"/>
        <v>2275.9874857497925</v>
      </c>
      <c r="W29" s="4">
        <f t="shared" si="61"/>
        <v>0.43936972688167653</v>
      </c>
      <c r="X29">
        <v>4700</v>
      </c>
      <c r="Y29" s="25">
        <f t="shared" si="62"/>
        <v>0.96809238846184464</v>
      </c>
      <c r="Z29">
        <v>400</v>
      </c>
      <c r="AA29" s="25">
        <f t="shared" si="63"/>
        <v>0.36616737811587075</v>
      </c>
      <c r="AB29" s="25">
        <f t="shared" si="64"/>
        <v>0.59221943669251309</v>
      </c>
      <c r="AC29" s="39">
        <f t="shared" si="65"/>
        <v>376</v>
      </c>
      <c r="AD29" s="9">
        <f t="shared" si="66"/>
        <v>2351.0023556388037</v>
      </c>
      <c r="AE29" s="9">
        <f t="shared" si="67"/>
        <v>374.17364612060567</v>
      </c>
      <c r="AF29" s="9">
        <f t="shared" si="68"/>
        <v>589.1460268299719</v>
      </c>
      <c r="AG29" s="9">
        <f t="shared" si="69"/>
        <v>17637.662362256749</v>
      </c>
      <c r="AH29" s="26">
        <f t="shared" si="70"/>
        <v>2034.2632117548376</v>
      </c>
      <c r="AI29" s="2">
        <f t="shared" si="71"/>
        <v>4.0830518963281053</v>
      </c>
    </row>
    <row r="30" spans="1:35">
      <c r="B30" s="23" t="s">
        <v>89</v>
      </c>
      <c r="C30" s="9" t="s">
        <v>89</v>
      </c>
      <c r="D30" s="2" t="s">
        <v>89</v>
      </c>
      <c r="E30" s="2" t="s">
        <v>89</v>
      </c>
      <c r="P30" s="2"/>
      <c r="S30" s="25"/>
      <c r="T30" s="25"/>
      <c r="U30" s="25"/>
      <c r="Y30" s="25"/>
      <c r="AA30" s="25"/>
      <c r="AB30" s="25"/>
      <c r="AC30" s="39"/>
      <c r="AH30" s="26" t="s">
        <v>89</v>
      </c>
    </row>
    <row r="31" spans="1:35">
      <c r="A31" t="s">
        <v>86</v>
      </c>
      <c r="B31" s="23">
        <f t="shared" si="11"/>
        <v>0.10129828887818783</v>
      </c>
      <c r="C31" s="9">
        <f>D31*AE31</f>
        <v>60.069885304765386</v>
      </c>
      <c r="D31" s="2">
        <f>G31*G31*I31/4*AH31/SQRT((($D$3*$D$3)+(G31*G31/4))*(($D$3*$D$3)+(G31*G31/4))*(($D$3*$D$3)+(G31*G31/4)))*0.000024706908245325</f>
        <v>0.58033893382592461</v>
      </c>
      <c r="E31" s="2">
        <f>AH31*I31/G31/20219</f>
        <v>0.84556427186946082</v>
      </c>
      <c r="F31" s="2">
        <f>I31/H31*AH31*0.0000501785102431005</f>
        <v>0.24127737035443261</v>
      </c>
      <c r="G31" s="4">
        <v>2.25</v>
      </c>
      <c r="H31" s="4">
        <v>8</v>
      </c>
      <c r="I31">
        <v>290</v>
      </c>
      <c r="J31" s="4">
        <f>G31*G31*I31*I31/(18*G31+40*H31)</f>
        <v>1181.015950069348</v>
      </c>
      <c r="K31">
        <v>1</v>
      </c>
      <c r="L31">
        <v>1.1000000000000001</v>
      </c>
      <c r="M31" s="4">
        <f>J31*K31+L31</f>
        <v>1182.1159500693479</v>
      </c>
      <c r="N31" s="4">
        <f>G31*PI()*I31/12*K31</f>
        <v>170.824100538945</v>
      </c>
      <c r="O31" s="4">
        <v>2.5</v>
      </c>
      <c r="P31" s="2">
        <f>N31*O31/1000</f>
        <v>0.42706025134736253</v>
      </c>
      <c r="Q31" s="4">
        <v>5</v>
      </c>
      <c r="R31" s="6">
        <f>P31+Q31*2.5/1000</f>
        <v>0.43956025134736254</v>
      </c>
      <c r="S31" s="25">
        <v>0.13</v>
      </c>
      <c r="T31" s="25">
        <f>R31/2*SQRT(X31/M31)</f>
        <v>0.28587315623580778</v>
      </c>
      <c r="U31" s="25">
        <f>R31+S31</f>
        <v>0.56956025134736255</v>
      </c>
      <c r="V31" s="9">
        <f>U31/(2*M31)*1000000</f>
        <v>240.90710023578893</v>
      </c>
      <c r="W31" s="4">
        <f>1/V31*1000</f>
        <v>4.1509776964699059</v>
      </c>
      <c r="X31">
        <v>2000</v>
      </c>
      <c r="Y31" s="25">
        <f>(U31)/2*SQRT(X31/M31)</f>
        <v>0.37042017839429348</v>
      </c>
      <c r="Z31">
        <v>160</v>
      </c>
      <c r="AA31" s="25">
        <f>0.18*AH31/1000</f>
        <v>2.3876096293917567E-2</v>
      </c>
      <c r="AB31" s="25">
        <f>1/(S31/(2*M31*0.000001))*1000</f>
        <v>18.186399231836123</v>
      </c>
      <c r="AC31" s="39">
        <f>X31*Z31*Z31/2/1000000</f>
        <v>25.6</v>
      </c>
      <c r="AD31" s="9">
        <f>1/(SQRT(M31*X31))*1000000</f>
        <v>650.36170891142865</v>
      </c>
      <c r="AE31" s="9">
        <f>AD31/2/PI()</f>
        <v>103.50828077094623</v>
      </c>
      <c r="AF31" s="9">
        <f>SQRT(AD31*AD31-V31*V31)</f>
        <v>604.09777476347097</v>
      </c>
      <c r="AG31" s="9">
        <f>Z31/(M31*AF31)*1000000</f>
        <v>224.05398335859994</v>
      </c>
      <c r="AH31" s="26">
        <f t="shared" si="70"/>
        <v>132.64497941065315</v>
      </c>
      <c r="AI31" s="2">
        <f>I31/H31*AH31*0.0000501785102431005</f>
        <v>0.24127737035443261</v>
      </c>
    </row>
    <row r="32" spans="1:35">
      <c r="B32" s="23" t="s">
        <v>89</v>
      </c>
      <c r="C32" s="9" t="s">
        <v>89</v>
      </c>
      <c r="D32" s="2" t="s">
        <v>89</v>
      </c>
      <c r="E32" s="2" t="s">
        <v>89</v>
      </c>
      <c r="P32" s="2"/>
      <c r="S32" s="21"/>
      <c r="U32" s="25"/>
      <c r="Y32" s="25"/>
      <c r="AA32" s="25"/>
      <c r="AB32" s="25"/>
      <c r="AC32" s="39"/>
      <c r="AH32" s="26" t="s">
        <v>89</v>
      </c>
    </row>
    <row r="33" spans="1:37" s="16" customFormat="1">
      <c r="A33" s="16" t="s">
        <v>37</v>
      </c>
      <c r="B33" s="15">
        <f>D33*AE33/593</f>
        <v>1.4317122573558987</v>
      </c>
      <c r="C33" s="18">
        <f>D33*AE33</f>
        <v>849.00536861204796</v>
      </c>
      <c r="D33" s="28">
        <f>G33*G33*I33/4*AH33/SQRT((($D$3*$D$3)+(G33*G33/4))*(($D$3*$D$3)+(G33*G33/4))*(($D$3*$D$3)+(G33*G33/4)))*0.000024706908245325</f>
        <v>0.2217666178866402</v>
      </c>
      <c r="E33" s="28">
        <f>AH33*I33/G33/20219</f>
        <v>0.32311795374824315</v>
      </c>
      <c r="F33" s="28">
        <f>I33/H33*AH33*0.0000501785102431005</f>
        <v>1.4752004603471138</v>
      </c>
      <c r="G33" s="15">
        <v>2.25</v>
      </c>
      <c r="H33" s="15">
        <v>0.5</v>
      </c>
      <c r="I33" s="16">
        <v>20</v>
      </c>
      <c r="J33" s="15">
        <f>G33*G33*I33*I33/(18*G33+40*H33)</f>
        <v>33.471074380165291</v>
      </c>
      <c r="K33" s="16">
        <v>2</v>
      </c>
      <c r="L33" s="16">
        <v>1.1000000000000001</v>
      </c>
      <c r="M33" s="15">
        <f>J33*K33+L33</f>
        <v>68.042148760330576</v>
      </c>
      <c r="N33" s="15">
        <f>G33*PI()*I33/12*K33</f>
        <v>23.56194490192345</v>
      </c>
      <c r="O33" s="15">
        <v>2.5</v>
      </c>
      <c r="P33" s="28">
        <f>N33*O33/1000</f>
        <v>5.8904862254808628E-2</v>
      </c>
      <c r="Q33" s="15">
        <v>5</v>
      </c>
      <c r="R33" s="17">
        <f>P33+Q33*2.5/1000</f>
        <v>7.1404862254808632E-2</v>
      </c>
      <c r="S33" s="17">
        <v>0.13</v>
      </c>
      <c r="T33" s="17">
        <f>R33/2*SQRT(X33/Q33)</f>
        <v>8.0469193043722062E-2</v>
      </c>
      <c r="U33" s="17">
        <f>R33+S33</f>
        <v>0.20140486225480864</v>
      </c>
      <c r="V33" s="18">
        <f>U33/(2*M33)*1000000</f>
        <v>1480.0007489786256</v>
      </c>
      <c r="W33" s="15">
        <f>1/V33*1000</f>
        <v>0.67567533373893052</v>
      </c>
      <c r="X33" s="16">
        <v>25.4</v>
      </c>
      <c r="Y33" s="17">
        <f>(U33)/2*SQRT(X33/M33)</f>
        <v>6.1527292372655099E-2</v>
      </c>
      <c r="Z33" s="16">
        <v>1320</v>
      </c>
      <c r="AA33" s="17">
        <f>0.18*AH33/1000</f>
        <v>0.13229571861342351</v>
      </c>
      <c r="AB33" s="17">
        <f>1/(S33/(2*M33*0.000001))*1000</f>
        <v>1.0468022886204704</v>
      </c>
      <c r="AC33" s="41">
        <f>X33*Z33*Z33/2/1000000</f>
        <v>22.12848</v>
      </c>
      <c r="AD33" s="18">
        <f>1/(SQRT(M33*X33))*1000000</f>
        <v>24054.378015119517</v>
      </c>
      <c r="AE33" s="18">
        <f>AD33/2/PI()</f>
        <v>3828.373164107285</v>
      </c>
      <c r="AF33" s="18">
        <f>SQRT(AD33*AD33-V33*V33)</f>
        <v>24008.804624080891</v>
      </c>
      <c r="AG33" s="18">
        <f>Z33/(M33*AF33)*1000000</f>
        <v>808.02607115838396</v>
      </c>
      <c r="AH33" s="18">
        <f t="shared" si="70"/>
        <v>734.97621451901944</v>
      </c>
      <c r="AI33" s="28">
        <f>I33/H33*AH33*0.0000501785102431005</f>
        <v>1.4752004603471138</v>
      </c>
    </row>
    <row r="34" spans="1:37" s="20" customFormat="1">
      <c r="A34" s="20" t="s">
        <v>38</v>
      </c>
      <c r="B34" s="19">
        <f>D34*AE34/593</f>
        <v>2.0023707096835301</v>
      </c>
      <c r="C34" s="22">
        <f>D34*AE34</f>
        <v>1187.4058308423334</v>
      </c>
      <c r="D34" s="29">
        <f>G34*G34*I34/4*AH34/SQRT((($D$3*$D$3)+(G34*G34/4))*(($D$3*$D$3)+(G34*G34/4))*(($D$3*$D$3)+(G34*G34/4)))*0.000024706908245325</f>
        <v>0.22279325189870999</v>
      </c>
      <c r="E34" s="29">
        <f>AH34*I34/G34/20219</f>
        <v>0.39752129486416338</v>
      </c>
      <c r="F34" s="29">
        <f>I34/H34*AH34*0.0000501785102431005</f>
        <v>7.4293749544375052</v>
      </c>
      <c r="G34" s="19">
        <v>1.75</v>
      </c>
      <c r="H34" s="19">
        <v>9.5000000000000001E-2</v>
      </c>
      <c r="I34" s="20">
        <v>14</v>
      </c>
      <c r="J34" s="19">
        <f>G34*G34*I34*I34/(18*G34+40*H34)</f>
        <v>17.004249291784703</v>
      </c>
      <c r="K34" s="20">
        <v>2</v>
      </c>
      <c r="L34" s="20">
        <v>1.1000000000000001</v>
      </c>
      <c r="M34" s="19">
        <f>J34*K34+L34</f>
        <v>35.108498583569407</v>
      </c>
      <c r="N34" s="19">
        <f>G34*PI()*I34/12*K34</f>
        <v>12.828170002158322</v>
      </c>
      <c r="O34" s="19">
        <v>2.5</v>
      </c>
      <c r="P34" s="29">
        <f>N34*O34/1000</f>
        <v>3.2070425005395801E-2</v>
      </c>
      <c r="Q34" s="19">
        <v>5</v>
      </c>
      <c r="R34" s="21">
        <f>P34+Q34*2.5/1000</f>
        <v>4.4570425005395806E-2</v>
      </c>
      <c r="S34" s="21">
        <v>0.13</v>
      </c>
      <c r="T34" s="21">
        <f>R34/2*SQRT(X34/M34)</f>
        <v>1.8955162389202921E-2</v>
      </c>
      <c r="U34" s="21">
        <f>R34+S34</f>
        <v>0.17457042500539582</v>
      </c>
      <c r="V34" s="22">
        <f>U34/(2*M34)*1000000</f>
        <v>2486.1562306611117</v>
      </c>
      <c r="W34" s="19">
        <f>1/V34*1000</f>
        <v>0.40222733699003416</v>
      </c>
      <c r="X34" s="20">
        <v>25.4</v>
      </c>
      <c r="Y34" s="21">
        <f>(U34)/2*SQRT(X34/M34)</f>
        <v>7.4242297530904208E-2</v>
      </c>
      <c r="Z34" s="20">
        <v>1320</v>
      </c>
      <c r="AA34" s="21">
        <f>0.18*AH34/1000</f>
        <v>0.18084336886931668</v>
      </c>
      <c r="AB34" s="21">
        <f>1/(S34/(2*M34*0.000001))*1000</f>
        <v>0.54013074743952927</v>
      </c>
      <c r="AC34" s="42">
        <f>X34*Z34*Z34/2/1000000</f>
        <v>22.12848</v>
      </c>
      <c r="AD34" s="22">
        <f>1/(SQRT(M34*X34))*1000000</f>
        <v>33487.059443792416</v>
      </c>
      <c r="AE34" s="22">
        <f>AD34/2/PI()</f>
        <v>5329.6310400916982</v>
      </c>
      <c r="AF34" s="22">
        <f>SQRT(AD34*AD34-V34*V34)</f>
        <v>33394.642944472871</v>
      </c>
      <c r="AG34" s="22">
        <f>Z34/(M34*AF34)*1000000</f>
        <v>1125.8612443365882</v>
      </c>
      <c r="AH34" s="22">
        <f t="shared" si="70"/>
        <v>1004.685382607315</v>
      </c>
      <c r="AI34" s="29">
        <f>I34/H34*AH34*0.0000501785102431005</f>
        <v>7.4293749544375052</v>
      </c>
    </row>
    <row r="35" spans="1:37" s="20" customFormat="1">
      <c r="B35" s="19">
        <f>D35*AE35/593</f>
        <v>3.6012070422767737</v>
      </c>
      <c r="C35" s="22">
        <f>D35*AE35</f>
        <v>2135.5157760701268</v>
      </c>
      <c r="D35" s="29">
        <f>G35*G35*I35/4*AH35/SQRT((($D$3*$D$3)+(G35*G35/4))*(($D$3*$D$3)+(G35*G35/4))*(($D$3*$D$3)+(G35*G35/4)))*0.000024706908245325</f>
        <v>0.16736205934662385</v>
      </c>
      <c r="E35" s="29">
        <f>AH35*I35/G35/20219</f>
        <v>0.26567904613296006</v>
      </c>
      <c r="F35" s="29">
        <f>I35/H35*AH35*0.0000501785102431005</f>
        <v>5.6746767726056317</v>
      </c>
      <c r="G35" s="19">
        <v>2</v>
      </c>
      <c r="H35" s="19">
        <v>9.5000000000000001E-2</v>
      </c>
      <c r="I35" s="20">
        <v>5</v>
      </c>
      <c r="J35" s="19">
        <f>G35*G35*I35*I35/(18*G35+40*H35)</f>
        <v>2.512562814070352</v>
      </c>
      <c r="K35" s="20">
        <v>2</v>
      </c>
      <c r="L35" s="20">
        <v>1.1000000000000001</v>
      </c>
      <c r="M35" s="19">
        <f>J35*K35+L35</f>
        <v>6.1251256281407045</v>
      </c>
      <c r="N35" s="19">
        <f>G35*PI()*I35/12*K35</f>
        <v>5.2359877559829888</v>
      </c>
      <c r="O35" s="19">
        <v>2.5</v>
      </c>
      <c r="P35" s="29">
        <f>N35*O35/1000</f>
        <v>1.3089969389957472E-2</v>
      </c>
      <c r="Q35" s="19">
        <v>5</v>
      </c>
      <c r="R35" s="21">
        <f>P35+Q35*2.5/1000</f>
        <v>2.5589969389957473E-2</v>
      </c>
      <c r="S35" s="21">
        <v>0.13</v>
      </c>
      <c r="T35" s="21">
        <f>R35/2*SQRT(X35/M35)</f>
        <v>2.6055483028258268E-2</v>
      </c>
      <c r="U35" s="21">
        <f>R35+S35</f>
        <v>0.15558996938995748</v>
      </c>
      <c r="V35" s="22">
        <f>U35/(2*M35)*1000000</f>
        <v>12700.961485192196</v>
      </c>
      <c r="W35" s="19">
        <f>1/V35*1000</f>
        <v>7.8734196711475787E-2</v>
      </c>
      <c r="X35" s="20">
        <v>25.4</v>
      </c>
      <c r="Y35" s="21">
        <f>(U35)/2*SQRT(X35/M35)</f>
        <v>0.15842034607506023</v>
      </c>
      <c r="Z35" s="20">
        <v>1320</v>
      </c>
      <c r="AA35" s="21">
        <f>0.18*AH35/1000</f>
        <v>0.38676705363088698</v>
      </c>
      <c r="AB35" s="21">
        <f>1/(S35/(2*M35*0.000001))*1000</f>
        <v>9.4232701971395438E-2</v>
      </c>
      <c r="AC35" s="42">
        <f>X35*Z35*Z35/2/1000000</f>
        <v>22.12848</v>
      </c>
      <c r="AD35" s="22">
        <f>1/(SQRT(M35*X35))*1000000</f>
        <v>80172.539701273141</v>
      </c>
      <c r="AE35" s="22">
        <f>AD35/2/PI()</f>
        <v>12759.855993688847</v>
      </c>
      <c r="AF35" s="22">
        <f>SQRT(AD35*AD35-V35*V35)</f>
        <v>79160.101689575182</v>
      </c>
      <c r="AG35" s="22">
        <f>Z35/(M35*AF35)*1000000</f>
        <v>2722.4040811445816</v>
      </c>
      <c r="AH35" s="22">
        <f t="shared" si="70"/>
        <v>2148.7058535049277</v>
      </c>
      <c r="AI35" s="29">
        <f>I35/H35*AH35*0.0000501785102431005</f>
        <v>5.6746767726056317</v>
      </c>
    </row>
    <row r="36" spans="1:37" s="24" customFormat="1">
      <c r="B36" s="23">
        <f>D36*AE36/593</f>
        <v>0.28274906717792525</v>
      </c>
      <c r="C36" s="9">
        <f>D36*AE36</f>
        <v>167.67019683650969</v>
      </c>
      <c r="D36" s="2">
        <f>G36*G36*I36/4*AH36/SQRT((($D$3*$D$3)+(G36*G36/4))*(($D$3*$D$3)+(G36*G36/4))*(($D$3*$D$3)+(G36*G36/4)))*0.000024706908245325</f>
        <v>0.21727767727901956</v>
      </c>
      <c r="E36" s="2">
        <f>AH36*I36/G36/20219</f>
        <v>0.31657748648831857</v>
      </c>
      <c r="F36" s="2">
        <f>I36/H36*AH36*0.0000501785102431005</f>
        <v>1.4453398469061052</v>
      </c>
      <c r="G36" s="23">
        <v>2.25</v>
      </c>
      <c r="H36" s="23">
        <v>0.5</v>
      </c>
      <c r="I36" s="24">
        <v>100</v>
      </c>
      <c r="J36" s="23">
        <f>G36*G36*I36*I36/(18*G36+40*H36)</f>
        <v>836.77685950413218</v>
      </c>
      <c r="K36" s="24">
        <v>2</v>
      </c>
      <c r="L36" s="24">
        <v>1.1000000000000001</v>
      </c>
      <c r="M36" s="23">
        <f>J36*K36+L36</f>
        <v>1674.6537190082643</v>
      </c>
      <c r="N36" s="23">
        <f>G36*PI()*I36/12*K36</f>
        <v>117.80972450961724</v>
      </c>
      <c r="O36" s="23">
        <v>10</v>
      </c>
      <c r="P36" s="2">
        <f>N36*O36/1000</f>
        <v>1.1780972450961724</v>
      </c>
      <c r="Q36" s="23">
        <v>5</v>
      </c>
      <c r="R36" s="6">
        <f>P36+Q36*2.5/1000</f>
        <v>1.1905972450961724</v>
      </c>
      <c r="S36" s="25">
        <v>0.13</v>
      </c>
      <c r="T36" s="25">
        <f>R36/2*SQRT(X36/M36)</f>
        <v>7.3314390232753879E-2</v>
      </c>
      <c r="U36" s="25">
        <f>R36+S36</f>
        <v>1.3205972450961725</v>
      </c>
      <c r="V36" s="9">
        <f>U36/(2*M36)*1000000</f>
        <v>394.28964630318762</v>
      </c>
      <c r="W36" s="4">
        <f>1/V36*1000</f>
        <v>2.5362065917172307</v>
      </c>
      <c r="X36">
        <v>25.4</v>
      </c>
      <c r="Y36" s="25">
        <f>(U36)/2*SQRT(X36/M36)</f>
        <v>8.1319507638756394E-2</v>
      </c>
      <c r="Z36">
        <v>1320</v>
      </c>
      <c r="AA36" s="25">
        <f>0.18*AH36/1000</f>
        <v>2.592356480719462E-2</v>
      </c>
      <c r="AB36" s="25">
        <f>1/(S36/(2*M36*0.000001))*1000</f>
        <v>25.763903369357909</v>
      </c>
      <c r="AC36" s="39">
        <f>X36*Z36*Z36/2/1000000</f>
        <v>22.12848</v>
      </c>
      <c r="AD36" s="9">
        <f>1/(SQRT(M36*X36))*1000000</f>
        <v>4848.6477322849842</v>
      </c>
      <c r="AE36" s="9">
        <f>AD36/2/PI()</f>
        <v>771.68625390446402</v>
      </c>
      <c r="AF36" s="9">
        <f>SQRT(AD36*AD36-V36*V36)</f>
        <v>4832.5894204463957</v>
      </c>
      <c r="AG36" s="26">
        <f>Z36/(M36*AF36)*1000000</f>
        <v>163.10565331815903</v>
      </c>
      <c r="AH36" s="26">
        <f t="shared" si="70"/>
        <v>144.01980448441455</v>
      </c>
      <c r="AI36" s="2">
        <f>I36/H36*AH36*0.0000501785102431005</f>
        <v>1.4453398469061052</v>
      </c>
    </row>
    <row r="37" spans="1:37">
      <c r="E37" s="2" t="s">
        <v>89</v>
      </c>
      <c r="P37" s="2"/>
      <c r="R37" s="13"/>
      <c r="AC37" s="39"/>
    </row>
    <row r="38" spans="1:37">
      <c r="P38" s="2"/>
    </row>
    <row r="39" spans="1:37" s="10" customFormat="1">
      <c r="A39" s="10" t="s">
        <v>44</v>
      </c>
      <c r="B39" s="5"/>
      <c r="C39" s="8"/>
      <c r="D39" s="3"/>
      <c r="F39" s="3"/>
      <c r="H39" s="10" t="s">
        <v>32</v>
      </c>
      <c r="I39" s="10" t="s">
        <v>27</v>
      </c>
      <c r="J39" s="10" t="s">
        <v>28</v>
      </c>
      <c r="K39" s="10" t="s">
        <v>29</v>
      </c>
      <c r="L39" s="10" t="s">
        <v>27</v>
      </c>
      <c r="M39" s="10" t="s">
        <v>30</v>
      </c>
      <c r="N39" s="10" t="s">
        <v>31</v>
      </c>
      <c r="O39" s="35"/>
      <c r="P39" s="32"/>
      <c r="Q39" s="35"/>
      <c r="R39" s="33"/>
      <c r="S39" s="36" t="s">
        <v>77</v>
      </c>
      <c r="T39" s="35"/>
      <c r="U39" s="35"/>
      <c r="V39" s="35"/>
      <c r="W39" s="36" t="s">
        <v>78</v>
      </c>
      <c r="X39" s="35"/>
      <c r="Y39" s="35"/>
      <c r="Z39" s="36" t="s">
        <v>76</v>
      </c>
      <c r="AA39" s="34"/>
      <c r="AB39" s="35"/>
      <c r="AD39" s="35"/>
      <c r="AE39" s="36"/>
      <c r="AF39" s="35"/>
      <c r="AG39" s="36" t="s">
        <v>6</v>
      </c>
      <c r="AH39" s="35"/>
      <c r="AI39" s="32"/>
      <c r="AJ39" s="35"/>
      <c r="AK39" s="35"/>
    </row>
    <row r="40" spans="1:37" s="5" customFormat="1">
      <c r="A40" s="5" t="s">
        <v>25</v>
      </c>
      <c r="C40" s="8"/>
      <c r="D40" s="3"/>
      <c r="F40" s="3"/>
      <c r="H40" s="5">
        <v>0.99890000000000001</v>
      </c>
      <c r="I40" s="5">
        <v>1.5880000000000001</v>
      </c>
      <c r="J40" s="5">
        <v>2.5249999999999999</v>
      </c>
      <c r="K40" s="5">
        <v>4.016</v>
      </c>
      <c r="L40" s="5">
        <v>1.5880000000000001</v>
      </c>
      <c r="M40" s="5">
        <v>6.3849999999999998</v>
      </c>
      <c r="N40" s="5">
        <v>10.15</v>
      </c>
      <c r="P40" s="3"/>
      <c r="AE40" s="8"/>
      <c r="AI40" s="3"/>
    </row>
    <row r="41" spans="1:37" s="1" customFormat="1">
      <c r="A41" s="1" t="s">
        <v>0</v>
      </c>
      <c r="B41" s="5"/>
      <c r="C41" s="8"/>
      <c r="D41" s="3"/>
      <c r="F41" s="3"/>
      <c r="G41" s="5"/>
      <c r="H41" s="7">
        <v>0.1019</v>
      </c>
      <c r="I41" s="7">
        <v>8.0799999999999997E-2</v>
      </c>
      <c r="J41" s="7">
        <v>6.4100000000000004E-2</v>
      </c>
      <c r="K41" s="7">
        <v>5.0799999999999998E-2</v>
      </c>
      <c r="L41" s="7">
        <v>8.0799999999999997E-2</v>
      </c>
      <c r="M41" s="7">
        <v>4.0300000000000002E-2</v>
      </c>
      <c r="N41" s="7">
        <v>3.2000000000000001E-2</v>
      </c>
      <c r="O41" s="5"/>
      <c r="P41" s="3"/>
      <c r="Q41" s="5"/>
      <c r="R41" s="7"/>
      <c r="S41" s="5"/>
      <c r="T41" s="7"/>
      <c r="U41" s="7"/>
      <c r="V41" s="8"/>
      <c r="W41" s="5"/>
      <c r="Y41" s="7"/>
      <c r="AA41" s="5"/>
      <c r="AB41" s="7"/>
      <c r="AD41" s="8"/>
      <c r="AE41" s="8"/>
      <c r="AF41" s="8"/>
      <c r="AG41" s="8"/>
      <c r="AH41" s="8"/>
      <c r="AI41" s="3"/>
    </row>
    <row r="42" spans="1:37">
      <c r="P42" s="2"/>
    </row>
    <row r="43" spans="1:37">
      <c r="A43" t="s">
        <v>46</v>
      </c>
      <c r="N43" s="4" t="s">
        <v>58</v>
      </c>
      <c r="P43" s="2"/>
    </row>
    <row r="44" spans="1:37">
      <c r="P44" s="2"/>
    </row>
    <row r="45" spans="1:37">
      <c r="N45" s="5"/>
      <c r="O45" s="5" t="s">
        <v>79</v>
      </c>
      <c r="Q45" s="3" t="s">
        <v>80</v>
      </c>
      <c r="R45" s="7"/>
      <c r="S45" s="5" t="s">
        <v>81</v>
      </c>
      <c r="T45" s="7"/>
      <c r="U45" s="7"/>
      <c r="V45" s="8"/>
      <c r="W45" s="5"/>
      <c r="X45" s="1"/>
      <c r="Y45" s="7"/>
      <c r="Z45" s="1"/>
      <c r="AA45" s="5"/>
      <c r="AB45" s="7"/>
      <c r="AD45" s="8"/>
      <c r="AE45" s="8"/>
      <c r="AF45" s="8"/>
      <c r="AG45" s="8"/>
      <c r="AH45" s="8"/>
      <c r="AI45" s="3"/>
      <c r="AJ45" s="1"/>
      <c r="AK45" s="1"/>
    </row>
    <row r="46" spans="1:37">
      <c r="N46" s="5"/>
      <c r="O46" s="5" t="s">
        <v>75</v>
      </c>
      <c r="P46" s="3"/>
      <c r="Q46" s="5" t="s">
        <v>19</v>
      </c>
      <c r="R46" s="7"/>
      <c r="S46" s="5" t="s">
        <v>64</v>
      </c>
      <c r="T46" s="7"/>
      <c r="U46" s="7"/>
      <c r="V46" s="8"/>
      <c r="W46" s="5"/>
      <c r="X46" s="1"/>
      <c r="Y46" s="7"/>
      <c r="Z46" s="1"/>
      <c r="AA46" s="5"/>
      <c r="AB46" s="7"/>
      <c r="AD46" s="8"/>
      <c r="AE46" s="8"/>
      <c r="AF46" s="8"/>
      <c r="AG46" s="8"/>
      <c r="AH46" s="8"/>
      <c r="AI46" s="3"/>
      <c r="AJ46" s="1"/>
      <c r="AK46" s="1"/>
    </row>
    <row r="47" spans="1:37">
      <c r="H47" s="4" t="s">
        <v>57</v>
      </c>
      <c r="P47" s="2"/>
    </row>
    <row r="48" spans="1:37">
      <c r="H48" s="4" t="s">
        <v>47</v>
      </c>
      <c r="O48" s="4">
        <f>P34*1000</f>
        <v>32.070425005395805</v>
      </c>
      <c r="P48" s="2"/>
    </row>
    <row r="49" spans="2:35">
      <c r="H49" s="4" t="s">
        <v>51</v>
      </c>
      <c r="O49" s="4">
        <v>0</v>
      </c>
      <c r="P49" s="2"/>
    </row>
    <row r="50" spans="2:35">
      <c r="H50" s="4" t="s">
        <v>52</v>
      </c>
      <c r="O50" s="4">
        <f>Q34*O34</f>
        <v>12.5</v>
      </c>
      <c r="P50" s="2"/>
    </row>
    <row r="51" spans="2:35">
      <c r="H51" s="4" t="s">
        <v>53</v>
      </c>
      <c r="O51" s="4">
        <v>2.5</v>
      </c>
      <c r="P51" s="2"/>
    </row>
    <row r="52" spans="2:35">
      <c r="H52" s="4" t="s">
        <v>54</v>
      </c>
      <c r="O52" s="4">
        <v>0</v>
      </c>
      <c r="P52" s="2"/>
    </row>
    <row r="53" spans="2:35">
      <c r="H53" s="4" t="s">
        <v>55</v>
      </c>
      <c r="O53" s="4">
        <v>0</v>
      </c>
      <c r="P53" s="2"/>
    </row>
    <row r="54" spans="2:35">
      <c r="H54" s="4" t="s">
        <v>49</v>
      </c>
      <c r="Q54" s="37">
        <v>1.5</v>
      </c>
    </row>
    <row r="55" spans="2:35">
      <c r="H55" s="4" t="s">
        <v>56</v>
      </c>
      <c r="O55" s="4">
        <v>0</v>
      </c>
    </row>
    <row r="56" spans="2:35">
      <c r="H56" s="4" t="s">
        <v>48</v>
      </c>
      <c r="P56" s="2"/>
      <c r="S56" s="38">
        <v>1000</v>
      </c>
      <c r="V56" s="9" t="s">
        <v>82</v>
      </c>
    </row>
    <row r="57" spans="2:35">
      <c r="H57" s="4" t="s">
        <v>50</v>
      </c>
      <c r="P57" s="2"/>
    </row>
    <row r="58" spans="2:35">
      <c r="P58" s="2"/>
    </row>
    <row r="59" spans="2:35">
      <c r="P59" s="2"/>
    </row>
    <row r="60" spans="2:35">
      <c r="P60" s="2"/>
    </row>
    <row r="61" spans="2:35">
      <c r="P61" s="2"/>
    </row>
    <row r="62" spans="2:35">
      <c r="P62" s="2"/>
    </row>
    <row r="63" spans="2:35" s="10" customFormat="1" ht="15.75" thickBot="1">
      <c r="B63" s="5"/>
      <c r="C63" s="8" t="s">
        <v>92</v>
      </c>
      <c r="D63" s="3" t="s">
        <v>92</v>
      </c>
      <c r="E63" s="10" t="s">
        <v>88</v>
      </c>
      <c r="F63" s="3" t="s">
        <v>87</v>
      </c>
      <c r="I63" s="10" t="s">
        <v>70</v>
      </c>
      <c r="J63" s="10" t="s">
        <v>69</v>
      </c>
      <c r="K63" s="10" t="s">
        <v>67</v>
      </c>
      <c r="L63" s="10" t="s">
        <v>70</v>
      </c>
      <c r="M63" s="10" t="s">
        <v>12</v>
      </c>
      <c r="N63" s="10" t="s">
        <v>11</v>
      </c>
      <c r="O63" s="10" t="s">
        <v>23</v>
      </c>
      <c r="P63" s="10" t="s">
        <v>11</v>
      </c>
      <c r="Q63" s="10" t="s">
        <v>33</v>
      </c>
      <c r="R63" s="10" t="s">
        <v>43</v>
      </c>
      <c r="S63" s="5" t="s">
        <v>59</v>
      </c>
      <c r="T63" s="10" t="s">
        <v>35</v>
      </c>
      <c r="U63" s="10" t="s">
        <v>12</v>
      </c>
      <c r="V63" s="10" t="s">
        <v>62</v>
      </c>
      <c r="W63" s="30" t="s">
        <v>60</v>
      </c>
      <c r="Y63" s="10" t="s">
        <v>73</v>
      </c>
      <c r="AA63" s="5" t="s">
        <v>41</v>
      </c>
      <c r="AB63" s="10" t="s">
        <v>36</v>
      </c>
      <c r="AC63" s="10" t="s">
        <v>85</v>
      </c>
      <c r="AD63" s="10" t="s">
        <v>4</v>
      </c>
      <c r="AE63" s="8" t="s">
        <v>5</v>
      </c>
      <c r="AF63" s="10" t="s">
        <v>7</v>
      </c>
      <c r="AG63" s="10" t="s">
        <v>8</v>
      </c>
      <c r="AH63" s="10" t="s">
        <v>40</v>
      </c>
      <c r="AI63" s="3" t="s">
        <v>14</v>
      </c>
    </row>
    <row r="64" spans="2:35" s="10" customFormat="1" ht="16.5" thickTop="1" thickBot="1">
      <c r="B64" s="5"/>
      <c r="C64" s="47">
        <v>1</v>
      </c>
      <c r="D64" s="45">
        <v>1</v>
      </c>
      <c r="E64" s="10" t="s">
        <v>91</v>
      </c>
      <c r="F64" s="3" t="s">
        <v>90</v>
      </c>
      <c r="G64" s="10" t="s">
        <v>9</v>
      </c>
      <c r="H64" s="10" t="s">
        <v>10</v>
      </c>
      <c r="I64" s="10" t="s">
        <v>11</v>
      </c>
      <c r="J64" s="10" t="s">
        <v>11</v>
      </c>
      <c r="K64" s="10" t="s">
        <v>68</v>
      </c>
      <c r="L64" s="10" t="s">
        <v>11</v>
      </c>
      <c r="M64" s="10" t="s">
        <v>71</v>
      </c>
      <c r="N64" s="10" t="s">
        <v>10</v>
      </c>
      <c r="O64" s="10" t="s">
        <v>24</v>
      </c>
      <c r="P64" s="10" t="s">
        <v>45</v>
      </c>
      <c r="Q64" s="10" t="s">
        <v>10</v>
      </c>
      <c r="R64" s="10" t="s">
        <v>33</v>
      </c>
      <c r="S64" s="5" t="s">
        <v>1</v>
      </c>
      <c r="T64" s="7" t="s">
        <v>2</v>
      </c>
      <c r="U64" s="7" t="s">
        <v>1</v>
      </c>
      <c r="V64" s="8" t="s">
        <v>3</v>
      </c>
      <c r="W64" s="5" t="s">
        <v>61</v>
      </c>
      <c r="X64" s="10" t="s">
        <v>17</v>
      </c>
      <c r="Y64" s="7" t="s">
        <v>74</v>
      </c>
      <c r="Z64" s="10" t="s">
        <v>13</v>
      </c>
      <c r="AA64" s="5" t="s">
        <v>42</v>
      </c>
      <c r="AB64" s="7" t="s">
        <v>34</v>
      </c>
      <c r="AC64" s="10" t="s">
        <v>83</v>
      </c>
      <c r="AF64" s="8"/>
      <c r="AG64" s="8"/>
      <c r="AH64" s="8"/>
      <c r="AI64" s="3" t="s">
        <v>15</v>
      </c>
    </row>
    <row r="65" spans="1:35" s="1" customFormat="1" ht="15.75" thickTop="1">
      <c r="B65" s="5"/>
      <c r="C65" s="8" t="s">
        <v>93</v>
      </c>
      <c r="D65" s="3" t="s">
        <v>93</v>
      </c>
      <c r="E65" s="1" t="s">
        <v>16</v>
      </c>
      <c r="F65" s="3" t="s">
        <v>16</v>
      </c>
      <c r="G65" s="5" t="s">
        <v>22</v>
      </c>
      <c r="H65" s="5" t="s">
        <v>22</v>
      </c>
      <c r="J65" s="5" t="s">
        <v>66</v>
      </c>
      <c r="M65" s="5" t="s">
        <v>66</v>
      </c>
      <c r="N65" s="5" t="s">
        <v>72</v>
      </c>
      <c r="O65" s="5" t="s">
        <v>63</v>
      </c>
      <c r="P65" s="5" t="s">
        <v>64</v>
      </c>
      <c r="Q65" s="5" t="s">
        <v>72</v>
      </c>
      <c r="R65" s="7" t="s">
        <v>64</v>
      </c>
      <c r="S65" s="5" t="s">
        <v>64</v>
      </c>
      <c r="U65" s="1" t="s">
        <v>64</v>
      </c>
      <c r="W65" s="5" t="s">
        <v>39</v>
      </c>
      <c r="X65" s="1" t="s">
        <v>65</v>
      </c>
      <c r="Z65" s="1" t="s">
        <v>19</v>
      </c>
      <c r="AA65" s="5" t="s">
        <v>18</v>
      </c>
      <c r="AB65" s="1" t="s">
        <v>39</v>
      </c>
      <c r="AC65" s="1" t="s">
        <v>84</v>
      </c>
      <c r="AD65" s="1" t="s">
        <v>26</v>
      </c>
      <c r="AE65" s="8" t="s">
        <v>20</v>
      </c>
      <c r="AF65" s="1" t="s">
        <v>26</v>
      </c>
      <c r="AG65" s="1" t="s">
        <v>21</v>
      </c>
      <c r="AH65" s="1" t="s">
        <v>21</v>
      </c>
      <c r="AI65" s="3" t="s">
        <v>16</v>
      </c>
    </row>
    <row r="66" spans="1:35" s="1" customFormat="1" ht="15.75" thickBot="1">
      <c r="B66" s="5"/>
      <c r="C66" s="8"/>
      <c r="D66" s="3"/>
      <c r="F66" s="3"/>
      <c r="G66" s="5"/>
      <c r="H66" s="5"/>
      <c r="J66" s="5"/>
      <c r="M66" s="5"/>
      <c r="N66" s="5"/>
      <c r="O66" s="5"/>
      <c r="P66" s="5"/>
      <c r="Q66" s="5"/>
      <c r="R66" s="7"/>
      <c r="S66" s="5"/>
      <c r="W66" s="5"/>
      <c r="AA66" s="5"/>
      <c r="AE66" s="8"/>
      <c r="AI66" s="3"/>
    </row>
    <row r="67" spans="1:35" ht="16.5" thickTop="1" thickBot="1">
      <c r="A67" t="s">
        <v>96</v>
      </c>
      <c r="C67" s="9">
        <f>F67*F67*H6/4*AG67/SQRT((($D$64*$D$64)+(F67*F67/4))*(($D$64*$D$64)+(F67*F67/4))*(($D$64*$D$64)+(F67*F67/4)))*0.000024706908245325</f>
        <v>1.3350303560798174E-3</v>
      </c>
      <c r="D67" s="2">
        <f>G67*G67*I6/4*AH67/SQRT((($D$64*$D$64)+(G67*G67/4))*(($D$64*$D$64)+(G67*G67/4))*(($D$64*$D$64)+(G67*G67/4)))*0.000024706908245325</f>
        <v>3.8881366021445131E-2</v>
      </c>
      <c r="E67" s="2">
        <f>AH67*I67/G67/20219</f>
        <v>0.34055555967426387</v>
      </c>
      <c r="F67" s="2">
        <f>I67/H67*AH67*0.0000501785102431005</f>
        <v>2.159461310995245</v>
      </c>
      <c r="G67" s="46">
        <v>2.5</v>
      </c>
      <c r="H67" s="4">
        <v>0.4</v>
      </c>
      <c r="I67">
        <v>25</v>
      </c>
      <c r="J67" s="4">
        <f>G67*G67*I67*I67/(18*G67+40*H67)</f>
        <v>64.036885245901644</v>
      </c>
      <c r="K67">
        <v>1</v>
      </c>
      <c r="L67">
        <v>25</v>
      </c>
      <c r="M67" s="4">
        <f>J67*K67</f>
        <v>64.036885245901644</v>
      </c>
      <c r="N67" s="4">
        <f>G67*PI()*I67/12*K67</f>
        <v>16.362461737446839</v>
      </c>
      <c r="O67" s="4">
        <v>2.5</v>
      </c>
      <c r="P67" s="2">
        <f>N67*O67/1000</f>
        <v>4.0906154343617093E-2</v>
      </c>
      <c r="Q67" s="4">
        <v>5</v>
      </c>
      <c r="R67" s="6">
        <f>P67+Q67*2.5/1000</f>
        <v>5.340615434361709E-2</v>
      </c>
      <c r="S67" s="25">
        <v>0.13</v>
      </c>
      <c r="T67" s="25">
        <f>R67/2*SQRT(X67/M67)</f>
        <v>1.4923174209401079E-2</v>
      </c>
      <c r="U67" s="25">
        <f>R67+S67</f>
        <v>0.18340615434361709</v>
      </c>
      <c r="V67" s="9">
        <f>U67/(2*M67)*1000000</f>
        <v>1432.0352531149622</v>
      </c>
      <c r="W67" s="4">
        <f>1/V67*1000</f>
        <v>0.69830683136103011</v>
      </c>
      <c r="X67">
        <v>20</v>
      </c>
      <c r="Y67" s="25">
        <f>(U67)/2*SQRT(X67/M67)</f>
        <v>5.1248812538272882E-2</v>
      </c>
      <c r="Z67">
        <v>1320</v>
      </c>
      <c r="AA67" s="25">
        <f>0.18*AH67/1000</f>
        <v>0.12394247149897093</v>
      </c>
      <c r="AB67" s="25">
        <f>1/(S67/(2*M67*0.000001))*1000</f>
        <v>0.98518284993694838</v>
      </c>
      <c r="AC67" s="39">
        <f>X67*Z67*Z67/2/1000000</f>
        <v>17.423999999999999</v>
      </c>
      <c r="AD67" s="9">
        <f>1/(SQRT(M67*X67))*1000000</f>
        <v>27942.798714516768</v>
      </c>
      <c r="AE67" s="9">
        <f>AD67/2/PI()</f>
        <v>4447.2345392372026</v>
      </c>
      <c r="AF67" s="9">
        <f>SQRT(AD67*AD67-V67*V67)</f>
        <v>27906.079535359961</v>
      </c>
      <c r="AG67" s="9">
        <f>Z67/(M67*AF67)*1000000</f>
        <v>738.66054792401019</v>
      </c>
      <c r="AH67" s="9">
        <f>Z67/((Z67/AG67)+S67)</f>
        <v>688.5692861053941</v>
      </c>
      <c r="AI67" s="2">
        <f>I67/H67*AH67*0.0000501785102431005</f>
        <v>2.159461310995245</v>
      </c>
    </row>
    <row r="68" spans="1:35" ht="18.75" thickTop="1">
      <c r="A68" t="s">
        <v>95</v>
      </c>
      <c r="F68" s="2" t="s">
        <v>97</v>
      </c>
      <c r="G68" s="4">
        <f>2*(G69-G67)/I67</f>
        <v>0.02</v>
      </c>
      <c r="Q68" s="31"/>
    </row>
    <row r="69" spans="1:35">
      <c r="A69">
        <f>A70+1</f>
        <v>25</v>
      </c>
      <c r="C69" s="9">
        <f t="shared" ref="C69:C92" si="72">C70+F69*F69/4*$AH$67/SQRT((($D$64*$D$64)+(F69*F69/4))*(($D$64*$D$64)+(F69*F69/4))*(($D$64*$D$64)+(F69*F69/4)))*0.000024706908245325</f>
        <v>7.6533782296864849E-3</v>
      </c>
      <c r="D69" s="2">
        <f t="shared" ref="D69:D92" si="73">D70+G69*G69/4*$AH$67/SQRT((($D$64*$D$64)+(G69*G69/4))*(($D$64*$D$64)+(G69*G69/4))*(($D$64*$D$64)+(G69*G69/4)))*0.000024706908245325</f>
        <v>0.16169507286840773</v>
      </c>
      <c r="E69" s="2">
        <f t="shared" ref="E69:E91" si="74">E70+$AH$67/G69/20219</f>
        <v>0.34032532925748826</v>
      </c>
      <c r="F69" s="2">
        <f>E70+I69/H69*$AH$67*0.0000501785102431005</f>
        <v>0.41431994316368848</v>
      </c>
      <c r="G69" s="4">
        <v>2.75</v>
      </c>
      <c r="H69" s="4">
        <v>0.4</v>
      </c>
      <c r="I69">
        <v>1</v>
      </c>
      <c r="J69"/>
      <c r="L69">
        <v>1</v>
      </c>
      <c r="M69"/>
      <c r="N69"/>
      <c r="O69"/>
      <c r="P69"/>
      <c r="Q69"/>
      <c r="R69"/>
      <c r="S69"/>
      <c r="T69"/>
      <c r="U69"/>
      <c r="V69"/>
      <c r="W69"/>
      <c r="Y69"/>
      <c r="AA69"/>
      <c r="AB69"/>
      <c r="AC69"/>
      <c r="AD69"/>
      <c r="AE69"/>
      <c r="AF69"/>
      <c r="AG69"/>
      <c r="AH69"/>
      <c r="AI69"/>
    </row>
    <row r="70" spans="1:35">
      <c r="A70">
        <f t="shared" ref="A70:A92" si="75">A71+1</f>
        <v>24</v>
      </c>
      <c r="C70" s="9">
        <f t="shared" si="72"/>
        <v>6.9678833652349155E-3</v>
      </c>
      <c r="D70" s="2">
        <f t="shared" si="73"/>
        <v>0.15515046222928877</v>
      </c>
      <c r="E70" s="2">
        <f t="shared" si="74"/>
        <v>0.32794149072387868</v>
      </c>
      <c r="F70" s="2">
        <f t="shared" ref="F70:F92" si="76">E71+I70/H70*$AH$67*0.0000501785102431005</f>
        <v>0.40184538053825758</v>
      </c>
      <c r="G70" s="4">
        <f>G69-$G$68</f>
        <v>2.73</v>
      </c>
      <c r="H70" s="4">
        <v>0.4</v>
      </c>
      <c r="I70">
        <v>1</v>
      </c>
      <c r="J70"/>
      <c r="L70">
        <v>1</v>
      </c>
      <c r="M70"/>
      <c r="N70"/>
      <c r="O70"/>
      <c r="P70"/>
      <c r="Q70"/>
      <c r="R70"/>
      <c r="S70"/>
      <c r="T70"/>
      <c r="U70"/>
      <c r="V70"/>
      <c r="W70"/>
      <c r="Y70"/>
      <c r="AA70"/>
      <c r="AB70"/>
      <c r="AC70"/>
      <c r="AD70"/>
      <c r="AE70"/>
      <c r="AF70"/>
      <c r="AG70"/>
      <c r="AH70"/>
      <c r="AI70"/>
    </row>
    <row r="71" spans="1:35">
      <c r="A71">
        <f t="shared" si="75"/>
        <v>23</v>
      </c>
      <c r="C71" s="9">
        <f t="shared" si="72"/>
        <v>6.3206776657166921E-3</v>
      </c>
      <c r="D71" s="2">
        <f t="shared" si="73"/>
        <v>0.14860789587437906</v>
      </c>
      <c r="E71" s="2">
        <f t="shared" si="74"/>
        <v>0.31546692809844779</v>
      </c>
      <c r="F71" s="2">
        <f t="shared" si="76"/>
        <v>0.38927875472001905</v>
      </c>
      <c r="G71" s="4">
        <f t="shared" ref="G71:G93" si="77">G70-$G$68</f>
        <v>2.71</v>
      </c>
      <c r="H71" s="4">
        <v>0.4</v>
      </c>
      <c r="I71">
        <v>1</v>
      </c>
      <c r="J71"/>
      <c r="L71">
        <v>1</v>
      </c>
      <c r="M71"/>
      <c r="N71"/>
      <c r="O71"/>
      <c r="P71"/>
      <c r="Q71"/>
      <c r="R71"/>
      <c r="S71"/>
      <c r="T71"/>
      <c r="U71"/>
      <c r="V71"/>
      <c r="W71"/>
      <c r="Y71"/>
      <c r="AA71"/>
      <c r="AB71"/>
      <c r="AC71"/>
      <c r="AD71"/>
      <c r="AE71"/>
      <c r="AF71"/>
      <c r="AG71"/>
      <c r="AH71"/>
      <c r="AI71"/>
    </row>
    <row r="72" spans="1:35">
      <c r="A72">
        <f t="shared" si="75"/>
        <v>22</v>
      </c>
      <c r="C72" s="9">
        <f t="shared" si="72"/>
        <v>5.7111352506942952E-3</v>
      </c>
      <c r="D72" s="2">
        <f t="shared" si="73"/>
        <v>0.14206786863188442</v>
      </c>
      <c r="E72" s="2">
        <f t="shared" si="74"/>
        <v>0.30290030228020925</v>
      </c>
      <c r="F72" s="2">
        <f t="shared" si="76"/>
        <v>0.37661869673956316</v>
      </c>
      <c r="G72" s="4">
        <f t="shared" si="77"/>
        <v>2.69</v>
      </c>
      <c r="H72" s="4">
        <v>0.4</v>
      </c>
      <c r="I72">
        <v>1</v>
      </c>
      <c r="J72"/>
      <c r="L72">
        <v>1</v>
      </c>
      <c r="M72"/>
      <c r="N72"/>
      <c r="O72"/>
      <c r="P72"/>
      <c r="Q72"/>
      <c r="R72"/>
      <c r="S72"/>
      <c r="T72"/>
      <c r="U72"/>
      <c r="V72"/>
      <c r="W72"/>
      <c r="Y72"/>
      <c r="AA72"/>
      <c r="AB72"/>
      <c r="AC72"/>
      <c r="AD72"/>
      <c r="AE72"/>
      <c r="AF72"/>
      <c r="AG72"/>
      <c r="AH72"/>
      <c r="AI72"/>
    </row>
    <row r="73" spans="1:35">
      <c r="A73">
        <f t="shared" si="75"/>
        <v>21</v>
      </c>
      <c r="C73" s="9">
        <f t="shared" si="72"/>
        <v>5.1385903355674013E-3</v>
      </c>
      <c r="D73" s="2">
        <f t="shared" si="73"/>
        <v>0.13553088780148823</v>
      </c>
      <c r="E73" s="2">
        <f t="shared" si="74"/>
        <v>0.29024024429975337</v>
      </c>
      <c r="F73" s="2">
        <f t="shared" si="76"/>
        <v>0.36386380686412256</v>
      </c>
      <c r="G73" s="4">
        <f t="shared" si="77"/>
        <v>2.67</v>
      </c>
      <c r="H73" s="4">
        <v>0.4</v>
      </c>
      <c r="I73">
        <v>1</v>
      </c>
      <c r="J73"/>
      <c r="L73">
        <v>1</v>
      </c>
      <c r="M73"/>
      <c r="N73"/>
      <c r="O73"/>
      <c r="P73"/>
      <c r="Q73"/>
      <c r="R73"/>
      <c r="S73"/>
      <c r="T73"/>
      <c r="U73"/>
      <c r="V73"/>
      <c r="W73"/>
      <c r="Y73"/>
      <c r="AA73"/>
      <c r="AB73"/>
      <c r="AC73"/>
      <c r="AD73"/>
      <c r="AE73"/>
      <c r="AF73"/>
      <c r="AG73"/>
      <c r="AH73"/>
      <c r="AI73"/>
    </row>
    <row r="74" spans="1:35">
      <c r="A74">
        <f t="shared" si="75"/>
        <v>20</v>
      </c>
      <c r="C74" s="9">
        <f t="shared" si="72"/>
        <v>4.6023361104728464E-3</v>
      </c>
      <c r="D74" s="2">
        <f t="shared" si="73"/>
        <v>0.12899747336741671</v>
      </c>
      <c r="E74" s="2">
        <f t="shared" si="74"/>
        <v>0.27748535442431277</v>
      </c>
      <c r="F74" s="2">
        <f t="shared" si="76"/>
        <v>0.3510126536688673</v>
      </c>
      <c r="G74" s="4">
        <f t="shared" si="77"/>
        <v>2.65</v>
      </c>
      <c r="H74" s="4">
        <v>0.4</v>
      </c>
      <c r="I74">
        <v>1</v>
      </c>
      <c r="J74"/>
      <c r="L74">
        <v>1</v>
      </c>
      <c r="M74"/>
      <c r="N74"/>
      <c r="O74"/>
      <c r="P74"/>
      <c r="Q74"/>
      <c r="R74"/>
      <c r="S74"/>
      <c r="T74"/>
      <c r="U74"/>
      <c r="V74"/>
      <c r="W74"/>
      <c r="Y74"/>
      <c r="AA74"/>
      <c r="AB74"/>
      <c r="AC74"/>
      <c r="AD74"/>
      <c r="AE74"/>
      <c r="AF74"/>
      <c r="AG74"/>
      <c r="AH74"/>
      <c r="AI74"/>
    </row>
    <row r="75" spans="1:35">
      <c r="A75">
        <f t="shared" si="75"/>
        <v>19</v>
      </c>
      <c r="C75" s="9">
        <f t="shared" si="72"/>
        <v>4.1016236179053514E-3</v>
      </c>
      <c r="D75" s="2">
        <f t="shared" si="73"/>
        <v>0.12246815821093138</v>
      </c>
      <c r="E75" s="2">
        <f t="shared" si="74"/>
        <v>0.26463420122905751</v>
      </c>
      <c r="F75" s="2">
        <f t="shared" si="76"/>
        <v>0.33806377307288771</v>
      </c>
      <c r="G75" s="4">
        <f t="shared" si="77"/>
        <v>2.63</v>
      </c>
      <c r="H75" s="4">
        <v>0.4</v>
      </c>
      <c r="I75">
        <v>1</v>
      </c>
      <c r="J75"/>
      <c r="L75">
        <v>1</v>
      </c>
      <c r="M75"/>
      <c r="N75"/>
      <c r="O75"/>
      <c r="P75"/>
      <c r="Q75"/>
      <c r="R75"/>
      <c r="S75"/>
      <c r="T75"/>
      <c r="U75"/>
      <c r="V75"/>
      <c r="W75"/>
      <c r="Y75"/>
      <c r="AA75"/>
      <c r="AB75"/>
      <c r="AC75"/>
      <c r="AD75"/>
      <c r="AE75"/>
      <c r="AF75"/>
      <c r="AG75"/>
      <c r="AH75"/>
      <c r="AI75"/>
    </row>
    <row r="76" spans="1:35">
      <c r="A76">
        <f t="shared" si="75"/>
        <v>18</v>
      </c>
      <c r="C76" s="9">
        <f t="shared" si="72"/>
        <v>3.6356606314157229E-3</v>
      </c>
      <c r="D76" s="2">
        <f t="shared" si="73"/>
        <v>0.11594348832192833</v>
      </c>
      <c r="E76" s="2">
        <f t="shared" si="74"/>
        <v>0.25168532063307791</v>
      </c>
      <c r="F76" s="2">
        <f t="shared" si="76"/>
        <v>0.32501566733824161</v>
      </c>
      <c r="G76" s="4">
        <f t="shared" si="77"/>
        <v>2.61</v>
      </c>
      <c r="H76" s="4">
        <v>0.4</v>
      </c>
      <c r="I76">
        <v>1</v>
      </c>
      <c r="J76"/>
      <c r="L76">
        <v>1</v>
      </c>
      <c r="M76"/>
      <c r="N76"/>
      <c r="O76"/>
      <c r="P76"/>
      <c r="Q76"/>
      <c r="R76"/>
      <c r="S76"/>
      <c r="T76"/>
      <c r="U76"/>
      <c r="V76"/>
      <c r="W76"/>
      <c r="Y76"/>
      <c r="AA76"/>
      <c r="AB76"/>
      <c r="AC76"/>
      <c r="AD76"/>
      <c r="AE76"/>
      <c r="AF76"/>
      <c r="AG76"/>
      <c r="AH76"/>
      <c r="AI76"/>
    </row>
    <row r="77" spans="1:35">
      <c r="A77">
        <f t="shared" si="75"/>
        <v>17</v>
      </c>
      <c r="C77" s="9">
        <f t="shared" si="72"/>
        <v>3.2036105379286794E-3</v>
      </c>
      <c r="D77" s="2">
        <f t="shared" si="73"/>
        <v>0.10942402300930204</v>
      </c>
      <c r="E77" s="2">
        <f t="shared" si="74"/>
        <v>0.23863721489843182</v>
      </c>
      <c r="F77" s="2">
        <f t="shared" si="76"/>
        <v>0.31186680403035494</v>
      </c>
      <c r="G77" s="4">
        <f t="shared" si="77"/>
        <v>2.59</v>
      </c>
      <c r="H77" s="4">
        <v>0.4</v>
      </c>
      <c r="I77">
        <v>1</v>
      </c>
      <c r="J77"/>
      <c r="L77">
        <v>1</v>
      </c>
      <c r="M77"/>
      <c r="N77"/>
      <c r="O77"/>
      <c r="P77"/>
      <c r="Q77"/>
      <c r="R77"/>
      <c r="S77"/>
      <c r="T77"/>
      <c r="U77"/>
      <c r="V77"/>
      <c r="W77"/>
      <c r="Y77"/>
      <c r="AA77"/>
      <c r="AB77"/>
      <c r="AC77"/>
      <c r="AD77"/>
      <c r="AE77"/>
      <c r="AF77"/>
      <c r="AG77"/>
      <c r="AH77"/>
      <c r="AI77"/>
    </row>
    <row r="78" spans="1:35">
      <c r="A78">
        <f t="shared" si="75"/>
        <v>16</v>
      </c>
      <c r="C78" s="9">
        <f t="shared" si="72"/>
        <v>2.8045912264150897E-3</v>
      </c>
      <c r="D78" s="2">
        <f t="shared" si="73"/>
        <v>0.10291033510970826</v>
      </c>
      <c r="E78" s="2">
        <f t="shared" si="74"/>
        <v>0.22548835159054517</v>
      </c>
      <c r="F78" s="2">
        <f t="shared" si="76"/>
        <v>0.29861561493797112</v>
      </c>
      <c r="G78" s="4">
        <f t="shared" si="77"/>
        <v>2.57</v>
      </c>
      <c r="H78" s="4">
        <v>0.4</v>
      </c>
      <c r="I78">
        <v>1</v>
      </c>
      <c r="J78"/>
      <c r="L78">
        <v>1</v>
      </c>
      <c r="M78"/>
      <c r="N78"/>
      <c r="O78"/>
      <c r="P78"/>
      <c r="Q78"/>
      <c r="R78"/>
      <c r="S78"/>
      <c r="T78"/>
      <c r="U78"/>
      <c r="V78"/>
      <c r="W78"/>
      <c r="Y78"/>
      <c r="AA78"/>
      <c r="AB78"/>
      <c r="AC78"/>
      <c r="AD78"/>
      <c r="AE78"/>
      <c r="AF78"/>
      <c r="AG78"/>
      <c r="AH78"/>
      <c r="AI78"/>
    </row>
    <row r="79" spans="1:35">
      <c r="A79">
        <f t="shared" si="75"/>
        <v>15</v>
      </c>
      <c r="C79" s="9">
        <f t="shared" si="72"/>
        <v>2.4376739858530073E-3</v>
      </c>
      <c r="D79" s="2">
        <f t="shared" si="73"/>
        <v>9.6403011194336544E-2</v>
      </c>
      <c r="E79" s="2">
        <f t="shared" si="74"/>
        <v>0.21223716249816135</v>
      </c>
      <c r="F79" s="2">
        <f t="shared" si="76"/>
        <v>0.28526049495074512</v>
      </c>
      <c r="G79" s="4">
        <f t="shared" si="77"/>
        <v>2.5499999999999998</v>
      </c>
      <c r="H79" s="4">
        <v>0.4</v>
      </c>
      <c r="I79">
        <v>1</v>
      </c>
      <c r="J79"/>
      <c r="L79">
        <v>1</v>
      </c>
      <c r="M79"/>
      <c r="N79"/>
      <c r="O79"/>
      <c r="P79"/>
      <c r="Q79"/>
      <c r="R79"/>
      <c r="S79"/>
      <c r="T79"/>
      <c r="U79"/>
      <c r="V79"/>
      <c r="W79"/>
      <c r="Y79"/>
      <c r="AA79"/>
      <c r="AB79"/>
      <c r="AC79"/>
      <c r="AD79"/>
      <c r="AE79"/>
      <c r="AF79"/>
      <c r="AG79"/>
      <c r="AH79"/>
      <c r="AI79"/>
    </row>
    <row r="80" spans="1:35">
      <c r="A80">
        <f t="shared" si="75"/>
        <v>14</v>
      </c>
      <c r="C80" s="9">
        <f t="shared" si="72"/>
        <v>2.1018824156182388E-3</v>
      </c>
      <c r="D80" s="2">
        <f t="shared" si="73"/>
        <v>8.9902651773278108E-2</v>
      </c>
      <c r="E80" s="2">
        <f t="shared" si="74"/>
        <v>0.19888204251093533</v>
      </c>
      <c r="F80" s="2">
        <f t="shared" si="76"/>
        <v>0.2717998008924738</v>
      </c>
      <c r="G80" s="4">
        <f t="shared" si="77"/>
        <v>2.5299999999999998</v>
      </c>
      <c r="H80" s="4">
        <v>0.4</v>
      </c>
      <c r="I80">
        <v>1</v>
      </c>
      <c r="J80"/>
      <c r="L80">
        <v>1</v>
      </c>
      <c r="M80"/>
      <c r="N80"/>
      <c r="O80"/>
      <c r="P80"/>
      <c r="Q80"/>
      <c r="R80"/>
      <c r="S80"/>
      <c r="T80"/>
      <c r="U80"/>
      <c r="V80"/>
      <c r="W80"/>
      <c r="Y80"/>
      <c r="AA80"/>
      <c r="AB80"/>
      <c r="AC80"/>
      <c r="AD80"/>
      <c r="AE80"/>
      <c r="AF80"/>
      <c r="AG80"/>
      <c r="AH80"/>
      <c r="AI80"/>
    </row>
    <row r="81" spans="1:35">
      <c r="A81">
        <f t="shared" si="75"/>
        <v>13</v>
      </c>
      <c r="C81" s="9">
        <f t="shared" si="72"/>
        <v>1.7961913516579249E-3</v>
      </c>
      <c r="D81" s="2">
        <f t="shared" si="73"/>
        <v>8.3409871497048149E-2</v>
      </c>
      <c r="E81" s="2">
        <f t="shared" si="74"/>
        <v>0.18542134845266403</v>
      </c>
      <c r="F81" s="2">
        <f t="shared" si="76"/>
        <v>0.25823185030784179</v>
      </c>
      <c r="G81" s="4">
        <f t="shared" si="77"/>
        <v>2.5099999999999998</v>
      </c>
      <c r="H81" s="4">
        <v>0.4</v>
      </c>
      <c r="I81">
        <v>1</v>
      </c>
      <c r="J81"/>
      <c r="L81">
        <v>1</v>
      </c>
      <c r="M81"/>
      <c r="N81"/>
      <c r="O81"/>
      <c r="P81"/>
      <c r="Q81"/>
      <c r="R81"/>
      <c r="S81"/>
      <c r="T81"/>
      <c r="U81"/>
      <c r="V81"/>
      <c r="W81"/>
      <c r="Y81"/>
      <c r="AA81"/>
      <c r="AB81"/>
      <c r="AC81"/>
      <c r="AD81"/>
      <c r="AE81"/>
      <c r="AF81"/>
      <c r="AG81"/>
      <c r="AH81"/>
      <c r="AI81"/>
    </row>
    <row r="82" spans="1:35">
      <c r="A82">
        <f t="shared" si="75"/>
        <v>12</v>
      </c>
      <c r="C82" s="9">
        <f t="shared" si="72"/>
        <v>1.5195258120193505E-3</v>
      </c>
      <c r="D82" s="2">
        <f t="shared" si="73"/>
        <v>7.6925299354794807E-2</v>
      </c>
      <c r="E82" s="2">
        <f t="shared" si="74"/>
        <v>0.171853397868032</v>
      </c>
      <c r="F82" s="2">
        <f t="shared" si="76"/>
        <v>0.24455492020044162</v>
      </c>
      <c r="G82" s="4">
        <f t="shared" si="77"/>
        <v>2.4899999999999998</v>
      </c>
      <c r="H82" s="4">
        <v>0.4</v>
      </c>
      <c r="I82">
        <v>1</v>
      </c>
      <c r="J82"/>
      <c r="L82">
        <v>1</v>
      </c>
      <c r="M82"/>
      <c r="N82"/>
      <c r="O82"/>
      <c r="P82"/>
      <c r="Q82"/>
      <c r="R82"/>
      <c r="S82"/>
      <c r="T82"/>
      <c r="U82"/>
      <c r="V82"/>
      <c r="W82"/>
      <c r="Y82"/>
      <c r="AA82"/>
      <c r="AB82"/>
      <c r="AC82"/>
      <c r="AD82"/>
      <c r="AE82"/>
      <c r="AF82"/>
      <c r="AG82"/>
      <c r="AH82"/>
      <c r="AI82"/>
    </row>
    <row r="83" spans="1:35">
      <c r="A83">
        <f t="shared" si="75"/>
        <v>11</v>
      </c>
      <c r="C83" s="9">
        <f t="shared" si="72"/>
        <v>1.2707599655304789E-3</v>
      </c>
      <c r="D83" s="2">
        <f t="shared" si="73"/>
        <v>7.0449578868698223E-2</v>
      </c>
      <c r="E83" s="2">
        <f t="shared" si="74"/>
        <v>0.15817646776063185</v>
      </c>
      <c r="F83" s="2">
        <f t="shared" si="76"/>
        <v>0.2307672457197022</v>
      </c>
      <c r="G83" s="4">
        <f t="shared" si="77"/>
        <v>2.4699999999999998</v>
      </c>
      <c r="H83" s="4">
        <v>0.4</v>
      </c>
      <c r="I83">
        <v>1</v>
      </c>
      <c r="J83"/>
      <c r="L83">
        <v>1</v>
      </c>
      <c r="M83"/>
      <c r="N83"/>
      <c r="O83"/>
      <c r="P83"/>
      <c r="Q83"/>
      <c r="R83"/>
      <c r="S83"/>
      <c r="T83"/>
      <c r="U83"/>
      <c r="V83"/>
      <c r="W83"/>
      <c r="Y83"/>
      <c r="AA83"/>
      <c r="AB83"/>
      <c r="AC83"/>
      <c r="AD83"/>
      <c r="AE83"/>
      <c r="AF83"/>
      <c r="AG83"/>
      <c r="AH83"/>
      <c r="AI83"/>
    </row>
    <row r="84" spans="1:35">
      <c r="A84">
        <f t="shared" si="75"/>
        <v>10</v>
      </c>
      <c r="C84" s="9">
        <f t="shared" si="72"/>
        <v>1.0487161276579026E-3</v>
      </c>
      <c r="D84" s="2">
        <f t="shared" si="73"/>
        <v>6.3983368284033657E-2</v>
      </c>
      <c r="E84" s="2">
        <f t="shared" si="74"/>
        <v>0.14438879327989243</v>
      </c>
      <c r="F84" s="2">
        <f t="shared" si="76"/>
        <v>0.21686701879422204</v>
      </c>
      <c r="G84" s="4">
        <f t="shared" si="77"/>
        <v>2.4499999999999997</v>
      </c>
      <c r="H84" s="4">
        <v>0.4</v>
      </c>
      <c r="I84">
        <v>1</v>
      </c>
      <c r="J84"/>
      <c r="L84">
        <v>1</v>
      </c>
      <c r="M84"/>
      <c r="N84"/>
      <c r="O84"/>
      <c r="P84"/>
      <c r="Q84"/>
      <c r="R84"/>
      <c r="S84"/>
      <c r="T84"/>
      <c r="U84"/>
      <c r="V84"/>
      <c r="W84"/>
      <c r="Y84"/>
      <c r="AA84"/>
      <c r="AB84"/>
      <c r="AC84"/>
      <c r="AD84"/>
      <c r="AE84"/>
      <c r="AF84"/>
      <c r="AG84"/>
      <c r="AH84"/>
      <c r="AI84"/>
    </row>
    <row r="85" spans="1:35">
      <c r="A85">
        <f t="shared" si="75"/>
        <v>9</v>
      </c>
      <c r="C85" s="9">
        <f t="shared" si="72"/>
        <v>8.5216378780140025E-4</v>
      </c>
      <c r="D85" s="2">
        <f t="shared" si="73"/>
        <v>5.7527340754341884E-2</v>
      </c>
      <c r="E85" s="2">
        <f t="shared" si="74"/>
        <v>0.13048856635441228</v>
      </c>
      <c r="F85" s="2">
        <f t="shared" si="76"/>
        <v>0.20285238670886141</v>
      </c>
      <c r="G85" s="4">
        <f t="shared" si="77"/>
        <v>2.4299999999999997</v>
      </c>
      <c r="H85" s="4">
        <v>0.4</v>
      </c>
      <c r="I85">
        <v>1</v>
      </c>
      <c r="J85"/>
      <c r="L85">
        <v>1</v>
      </c>
      <c r="M85"/>
      <c r="N85"/>
      <c r="O85"/>
      <c r="P85"/>
      <c r="Q85"/>
      <c r="R85"/>
      <c r="S85"/>
      <c r="T85"/>
      <c r="U85"/>
      <c r="V85"/>
      <c r="W85"/>
      <c r="Y85"/>
      <c r="AA85"/>
      <c r="AB85"/>
      <c r="AC85"/>
      <c r="AD85"/>
      <c r="AE85"/>
      <c r="AF85"/>
      <c r="AG85"/>
      <c r="AH85"/>
      <c r="AI85"/>
    </row>
    <row r="86" spans="1:35">
      <c r="A86">
        <f t="shared" si="75"/>
        <v>8</v>
      </c>
      <c r="C86" s="9">
        <f t="shared" si="72"/>
        <v>6.7981867252130471E-4</v>
      </c>
      <c r="D86" s="2">
        <f t="shared" si="73"/>
        <v>5.1082184521118068E-2</v>
      </c>
      <c r="E86" s="2">
        <f t="shared" si="74"/>
        <v>0.11647393426905163</v>
      </c>
      <c r="F86" s="2">
        <f t="shared" si="76"/>
        <v>0.18872145062279239</v>
      </c>
      <c r="G86" s="4">
        <f t="shared" si="77"/>
        <v>2.4099999999999997</v>
      </c>
      <c r="H86" s="4">
        <v>0.4</v>
      </c>
      <c r="I86">
        <v>1</v>
      </c>
      <c r="J86"/>
      <c r="L86">
        <v>1</v>
      </c>
      <c r="M86"/>
      <c r="N86"/>
      <c r="O86"/>
      <c r="P86"/>
      <c r="Q86"/>
      <c r="R86"/>
      <c r="S86"/>
      <c r="T86"/>
      <c r="U86"/>
      <c r="V86"/>
      <c r="W86"/>
      <c r="Y86"/>
      <c r="AA86"/>
      <c r="AB86"/>
      <c r="AC86"/>
      <c r="AD86"/>
      <c r="AE86"/>
      <c r="AF86"/>
      <c r="AG86"/>
      <c r="AH86"/>
      <c r="AI86"/>
    </row>
    <row r="87" spans="1:35">
      <c r="A87">
        <f t="shared" si="75"/>
        <v>7</v>
      </c>
      <c r="C87" s="9">
        <f t="shared" si="72"/>
        <v>5.3034184943453512E-4</v>
      </c>
      <c r="D87" s="2">
        <f t="shared" si="73"/>
        <v>4.4648603087397265E-2</v>
      </c>
      <c r="E87" s="2">
        <f t="shared" si="74"/>
        <v>0.10234299818298259</v>
      </c>
      <c r="F87" s="2">
        <f t="shared" si="76"/>
        <v>0.17447226402554283</v>
      </c>
      <c r="G87" s="4">
        <f t="shared" si="77"/>
        <v>2.3899999999999997</v>
      </c>
      <c r="H87" s="4">
        <v>0.4</v>
      </c>
      <c r="I87">
        <v>1</v>
      </c>
      <c r="J87"/>
      <c r="L87">
        <v>1</v>
      </c>
      <c r="M87"/>
      <c r="N87"/>
      <c r="O87"/>
      <c r="P87"/>
      <c r="Q87"/>
      <c r="R87"/>
      <c r="S87"/>
      <c r="T87"/>
      <c r="U87"/>
      <c r="V87"/>
      <c r="W87"/>
      <c r="Y87"/>
      <c r="AA87"/>
      <c r="AB87"/>
      <c r="AC87"/>
      <c r="AD87"/>
      <c r="AE87"/>
      <c r="AF87"/>
      <c r="AG87"/>
      <c r="AH87"/>
      <c r="AI87"/>
    </row>
    <row r="88" spans="1:35">
      <c r="A88">
        <f t="shared" si="75"/>
        <v>6</v>
      </c>
      <c r="C88" s="9">
        <f t="shared" si="72"/>
        <v>4.0233887675646834E-4</v>
      </c>
      <c r="D88" s="2">
        <f t="shared" si="73"/>
        <v>3.8227315384580178E-2</v>
      </c>
      <c r="E88" s="2">
        <f t="shared" si="74"/>
        <v>8.8093811585733053E-2</v>
      </c>
      <c r="F88" s="2">
        <f t="shared" si="76"/>
        <v>0.16010283112789458</v>
      </c>
      <c r="G88" s="4">
        <f t="shared" si="77"/>
        <v>2.3699999999999997</v>
      </c>
      <c r="H88" s="4">
        <v>0.4</v>
      </c>
      <c r="I88">
        <v>1</v>
      </c>
      <c r="J88"/>
      <c r="L88">
        <v>1</v>
      </c>
      <c r="M88"/>
      <c r="N88"/>
      <c r="O88"/>
      <c r="P88"/>
      <c r="Q88"/>
      <c r="R88"/>
      <c r="S88"/>
      <c r="T88"/>
      <c r="U88"/>
      <c r="V88"/>
      <c r="W88"/>
      <c r="Y88"/>
      <c r="AA88"/>
      <c r="AB88"/>
      <c r="AC88"/>
      <c r="AD88"/>
      <c r="AE88"/>
      <c r="AF88"/>
      <c r="AG88"/>
      <c r="AH88"/>
      <c r="AI88"/>
    </row>
    <row r="89" spans="1:35">
      <c r="A89">
        <f t="shared" si="75"/>
        <v>5</v>
      </c>
      <c r="C89" s="9">
        <f t="shared" si="72"/>
        <v>2.9435900370769518E-4</v>
      </c>
      <c r="D89" s="2">
        <f t="shared" si="73"/>
        <v>3.1819055931807512E-2</v>
      </c>
      <c r="E89" s="2">
        <f t="shared" si="74"/>
        <v>7.3724378688084791E-2</v>
      </c>
      <c r="F89" s="2">
        <f t="shared" si="76"/>
        <v>0.14561110518430886</v>
      </c>
      <c r="G89" s="4">
        <f t="shared" si="77"/>
        <v>2.3499999999999996</v>
      </c>
      <c r="H89" s="4">
        <v>0.4</v>
      </c>
      <c r="I89">
        <v>1</v>
      </c>
      <c r="J89"/>
      <c r="L89">
        <v>1</v>
      </c>
      <c r="M89"/>
      <c r="N89"/>
      <c r="O89"/>
      <c r="P89"/>
      <c r="Q89"/>
      <c r="R89"/>
      <c r="S89"/>
      <c r="T89"/>
      <c r="U89"/>
      <c r="V89"/>
      <c r="W89"/>
      <c r="Y89"/>
      <c r="AA89"/>
      <c r="AB89"/>
      <c r="AC89"/>
      <c r="AD89"/>
      <c r="AE89"/>
      <c r="AF89"/>
      <c r="AG89"/>
      <c r="AH89"/>
      <c r="AI89"/>
    </row>
    <row r="90" spans="1:35">
      <c r="A90">
        <f t="shared" si="75"/>
        <v>4</v>
      </c>
      <c r="C90" s="9">
        <f t="shared" si="72"/>
        <v>2.0489442724591102E-4</v>
      </c>
      <c r="D90" s="2">
        <f t="shared" si="73"/>
        <v>2.5424574987154464E-2</v>
      </c>
      <c r="E90" s="2">
        <f t="shared" si="74"/>
        <v>5.9232652744499098E-2</v>
      </c>
      <c r="F90" s="2">
        <f t="shared" si="76"/>
        <v>0.13099498674335336</v>
      </c>
      <c r="G90" s="4">
        <f t="shared" si="77"/>
        <v>2.3299999999999996</v>
      </c>
      <c r="H90" s="4">
        <v>0.4</v>
      </c>
      <c r="I90">
        <v>1</v>
      </c>
      <c r="J90"/>
      <c r="L90">
        <v>1</v>
      </c>
      <c r="M90"/>
      <c r="N90"/>
      <c r="O90"/>
      <c r="P90"/>
      <c r="Q90"/>
      <c r="R90"/>
      <c r="S90"/>
      <c r="T90"/>
      <c r="U90"/>
      <c r="V90"/>
      <c r="W90"/>
      <c r="Y90"/>
      <c r="AA90"/>
      <c r="AB90"/>
      <c r="AC90"/>
      <c r="AD90"/>
      <c r="AE90"/>
      <c r="AF90"/>
      <c r="AG90"/>
      <c r="AH90"/>
      <c r="AI90"/>
    </row>
    <row r="91" spans="1:35">
      <c r="A91">
        <f t="shared" si="75"/>
        <v>3</v>
      </c>
      <c r="C91" s="9">
        <f t="shared" si="72"/>
        <v>1.3237961082236135E-4</v>
      </c>
      <c r="D91" s="2">
        <f t="shared" si="73"/>
        <v>1.9044638689878921E-2</v>
      </c>
      <c r="E91" s="2">
        <f t="shared" si="74"/>
        <v>4.4616534303543565E-2</v>
      </c>
      <c r="F91" s="2">
        <f t="shared" si="76"/>
        <v>0.11625232182238954</v>
      </c>
      <c r="G91" s="4">
        <f t="shared" si="77"/>
        <v>2.3099999999999996</v>
      </c>
      <c r="H91" s="4">
        <v>0.4</v>
      </c>
      <c r="I91">
        <v>1</v>
      </c>
      <c r="J91"/>
      <c r="L91">
        <v>1</v>
      </c>
      <c r="M91"/>
      <c r="N91"/>
      <c r="O91"/>
      <c r="P91"/>
      <c r="Q91"/>
      <c r="R91"/>
      <c r="S91"/>
      <c r="T91"/>
      <c r="U91"/>
      <c r="V91"/>
      <c r="W91"/>
      <c r="Y91"/>
      <c r="AA91"/>
      <c r="AB91"/>
      <c r="AC91"/>
      <c r="AD91"/>
      <c r="AE91"/>
      <c r="AF91"/>
      <c r="AG91"/>
      <c r="AH91"/>
      <c r="AI91"/>
    </row>
    <row r="92" spans="1:35">
      <c r="A92">
        <f t="shared" si="75"/>
        <v>2</v>
      </c>
      <c r="C92" s="9">
        <f t="shared" si="72"/>
        <v>7.5190671097917597E-5</v>
      </c>
      <c r="D92" s="2">
        <f t="shared" si="73"/>
        <v>1.2680029192918114E-2</v>
      </c>
      <c r="E92" s="2">
        <f>E93+$AH$67/G92/20219</f>
        <v>2.9873869382579757E-2</v>
      </c>
      <c r="F92" s="2">
        <f t="shared" si="76"/>
        <v>0.10138090000255269</v>
      </c>
      <c r="G92" s="4">
        <f t="shared" si="77"/>
        <v>2.2899999999999996</v>
      </c>
      <c r="H92" s="4">
        <v>0.4</v>
      </c>
      <c r="I92">
        <v>1</v>
      </c>
      <c r="J92"/>
      <c r="L92">
        <v>1</v>
      </c>
      <c r="M92"/>
      <c r="N92"/>
      <c r="O92"/>
      <c r="P92"/>
      <c r="Q92"/>
      <c r="R92"/>
      <c r="S92"/>
      <c r="T92"/>
      <c r="U92"/>
      <c r="V92"/>
      <c r="W92"/>
      <c r="Y92"/>
      <c r="AA92"/>
      <c r="AB92"/>
      <c r="AC92"/>
      <c r="AD92"/>
      <c r="AE92"/>
      <c r="AF92"/>
      <c r="AG92"/>
      <c r="AH92"/>
      <c r="AI92"/>
    </row>
    <row r="93" spans="1:35">
      <c r="A93">
        <v>1</v>
      </c>
      <c r="C93" s="9">
        <f>F93*F93/4*$AH$67/SQRT((($D$64*$D$64)+(F93*F93/4))*(($D$64*$D$64)+(F93*F93/4))*(($D$64*$D$64)+(F93*F93/4)))*0.000024706908245325</f>
        <v>3.1644838784356896E-5</v>
      </c>
      <c r="D93" s="2">
        <f>G93*G93/4*$AH$67/SQRT((($D$64*$D$64)+(G93*G93/4))*(($D$64*$D$64)+(G93*G93/4))*(($D$64*$D$64)+(G93*G93/4)))*0.000024706908245325</f>
        <v>6.3315447847882003E-3</v>
      </c>
      <c r="E93" s="2">
        <f>$AH$67/G93/20219</f>
        <v>1.5002447562742905E-2</v>
      </c>
      <c r="F93" s="2">
        <f>I93/H93*$AH$67*0.0000501785102431005</f>
        <v>8.637845243980978E-2</v>
      </c>
      <c r="G93" s="4">
        <f t="shared" si="77"/>
        <v>2.2699999999999996</v>
      </c>
      <c r="H93" s="4">
        <v>0.4</v>
      </c>
      <c r="I93">
        <v>1</v>
      </c>
      <c r="J93"/>
      <c r="L93">
        <v>1</v>
      </c>
      <c r="M93"/>
      <c r="N93"/>
      <c r="O93"/>
      <c r="P93"/>
      <c r="Q93"/>
      <c r="R93"/>
      <c r="S93"/>
      <c r="T93"/>
      <c r="U93"/>
      <c r="V93"/>
      <c r="W93"/>
      <c r="Y93"/>
      <c r="AA93"/>
      <c r="AB93"/>
      <c r="AC93"/>
      <c r="AD93"/>
      <c r="AE93"/>
      <c r="AF93"/>
      <c r="AG93"/>
      <c r="AH93"/>
      <c r="AI93"/>
    </row>
    <row r="95" spans="1:35">
      <c r="C95" s="9" t="s">
        <v>94</v>
      </c>
      <c r="D95" s="2" t="s">
        <v>94</v>
      </c>
      <c r="E95" t="s">
        <v>88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6"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lab322</dc:creator>
  <cp:lastModifiedBy>lab322</cp:lastModifiedBy>
  <dcterms:created xsi:type="dcterms:W3CDTF">2014-10-24T20:58:55Z</dcterms:created>
  <dcterms:modified xsi:type="dcterms:W3CDTF">2014-12-24T16:26:58Z</dcterms:modified>
</cp:coreProperties>
</file>